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080" windowHeight="5535" firstSheet="2" activeTab="7"/>
  </bookViews>
  <sheets>
    <sheet name="e1_voti" sheetId="1" r:id="rId1"/>
    <sheet name="es2_edifici" sheetId="2" r:id="rId2"/>
    <sheet name="es3_trasmissioni" sheetId="3" r:id="rId3"/>
    <sheet name="es4_sigarette" sheetId="4" r:id="rId4"/>
    <sheet name="es5_famiglie" sheetId="5" r:id="rId5"/>
    <sheet name="es6_birra" sheetId="6" r:id="rId6"/>
    <sheet name="es7_cinema" sheetId="7" r:id="rId7"/>
    <sheet name="es8_sport" sheetId="8" r:id="rId8"/>
  </sheets>
  <definedNames>
    <definedName name="_xlnm.Print_Area" localSheetId="0">'e1_voti'!$A$1:$I$54</definedName>
    <definedName name="_xlnm.Print_Area" localSheetId="1">'es2_edifici'!$A$1:$G$61</definedName>
  </definedNames>
  <calcPr fullCalcOnLoad="1"/>
</workbook>
</file>

<file path=xl/sharedStrings.xml><?xml version="1.0" encoding="utf-8"?>
<sst xmlns="http://schemas.openxmlformats.org/spreadsheetml/2006/main" count="439" uniqueCount="306">
  <si>
    <t>Nome edificio</t>
  </si>
  <si>
    <t>Città</t>
  </si>
  <si>
    <t>Stato</t>
  </si>
  <si>
    <t>Anno</t>
  </si>
  <si>
    <t>Numero</t>
  </si>
  <si>
    <t>Altezza</t>
  </si>
  <si>
    <t>costruzione</t>
  </si>
  <si>
    <t>di piani</t>
  </si>
  <si>
    <t>m</t>
  </si>
  <si>
    <t>Petronas Tower 1</t>
  </si>
  <si>
    <t xml:space="preserve"> Kuala Lumpur</t>
  </si>
  <si>
    <t>Malaysia</t>
  </si>
  <si>
    <t>Sears Tower</t>
  </si>
  <si>
    <t xml:space="preserve"> Chicago</t>
  </si>
  <si>
    <t>USA</t>
  </si>
  <si>
    <t>Jin Mao Building</t>
  </si>
  <si>
    <t xml:space="preserve"> Shanghai</t>
  </si>
  <si>
    <t>Cina</t>
  </si>
  <si>
    <t>Citic Plaza</t>
  </si>
  <si>
    <t xml:space="preserve"> Guangzhou</t>
  </si>
  <si>
    <t>Shun Hing Square</t>
  </si>
  <si>
    <t xml:space="preserve"> Shenzhen</t>
  </si>
  <si>
    <t>Empire State Building</t>
  </si>
  <si>
    <t xml:space="preserve"> New York</t>
  </si>
  <si>
    <t>Central Plaza</t>
  </si>
  <si>
    <t xml:space="preserve"> Hong Kong</t>
  </si>
  <si>
    <t>Corea</t>
  </si>
  <si>
    <t>Bank of China Tower</t>
  </si>
  <si>
    <t>Emirates Tower One</t>
  </si>
  <si>
    <t xml:space="preserve"> Dubai</t>
  </si>
  <si>
    <t>The Center</t>
  </si>
  <si>
    <t>T &amp; C Tower</t>
  </si>
  <si>
    <t xml:space="preserve"> Kaohsiung</t>
  </si>
  <si>
    <t>Taiwan</t>
  </si>
  <si>
    <t>Aon Centre</t>
  </si>
  <si>
    <t>John Hancock Center</t>
  </si>
  <si>
    <t>Burj al Arab Hotel</t>
  </si>
  <si>
    <t>Dubai</t>
  </si>
  <si>
    <t>Chrysler Building</t>
  </si>
  <si>
    <t>Bank of America Plaza</t>
  </si>
  <si>
    <t xml:space="preserve"> Atlanta</t>
  </si>
  <si>
    <t>Library Tower</t>
  </si>
  <si>
    <t xml:space="preserve"> Los Angeles</t>
  </si>
  <si>
    <t>Telekom Malaysia Headquarters</t>
  </si>
  <si>
    <t>Emirates Tower Two</t>
  </si>
  <si>
    <t>AT&amp;T Corporate Center</t>
  </si>
  <si>
    <t>Chase Tower</t>
  </si>
  <si>
    <t xml:space="preserve"> Houston</t>
  </si>
  <si>
    <t>Baiyoke Tower II</t>
  </si>
  <si>
    <t xml:space="preserve"> Bangkok</t>
  </si>
  <si>
    <t>Tailandia</t>
  </si>
  <si>
    <t>Two Prudential Plaza</t>
  </si>
  <si>
    <t>Pyongyang Hotel</t>
  </si>
  <si>
    <t xml:space="preserve"> Pyongyang</t>
  </si>
  <si>
    <t>Commerzbank Tower</t>
  </si>
  <si>
    <t>Francoforte</t>
  </si>
  <si>
    <t>Germania</t>
  </si>
  <si>
    <t>First Canadian Place</t>
  </si>
  <si>
    <t xml:space="preserve"> Toronto</t>
  </si>
  <si>
    <t>Canada</t>
  </si>
  <si>
    <t>Kingdom Centre</t>
  </si>
  <si>
    <t xml:space="preserve"> Riyadh</t>
  </si>
  <si>
    <t>Arabia Saudita</t>
  </si>
  <si>
    <t>Wells Fargo Plaza</t>
  </si>
  <si>
    <t>Landmark Tower</t>
  </si>
  <si>
    <t xml:space="preserve"> Yokohama</t>
  </si>
  <si>
    <t>Giappone</t>
  </si>
  <si>
    <t>Bank of America Center</t>
  </si>
  <si>
    <t xml:space="preserve"> Seattle</t>
  </si>
  <si>
    <t>311 South Wacker Drive</t>
  </si>
  <si>
    <t>SEG Plaza</t>
  </si>
  <si>
    <t xml:space="preserve"> Shenzen</t>
  </si>
  <si>
    <t>American International Building</t>
  </si>
  <si>
    <t>Cheung Kong Center</t>
  </si>
  <si>
    <t>Key Tower</t>
  </si>
  <si>
    <t xml:space="preserve"> Cleveland</t>
  </si>
  <si>
    <t>One Liberty Place</t>
  </si>
  <si>
    <t xml:space="preserve"> Philadelphia</t>
  </si>
  <si>
    <t>Sunjoy Tomorrow Square</t>
  </si>
  <si>
    <t>40 Wall Street</t>
  </si>
  <si>
    <t>Plaza 66</t>
  </si>
  <si>
    <t xml:space="preserve"> Dallas</t>
  </si>
  <si>
    <t>max</t>
  </si>
  <si>
    <t>min</t>
  </si>
  <si>
    <t>media</t>
  </si>
  <si>
    <t>%</t>
  </si>
  <si>
    <t>Numero totale edifici</t>
  </si>
  <si>
    <t>Numero edifici negli USA</t>
  </si>
  <si>
    <t>Numero edifici in Canada</t>
  </si>
  <si>
    <t>Numero edifici in Cina</t>
  </si>
  <si>
    <t>Numero edifici in Arabia Saudita</t>
  </si>
  <si>
    <t>Numero edifici in altri stati</t>
  </si>
  <si>
    <t>Numero edifici costruiti periodo 1930-1970</t>
  </si>
  <si>
    <t>totale</t>
  </si>
  <si>
    <t>VOTAZIONI UNIVERSITARIE</t>
  </si>
  <si>
    <t>Votazione</t>
  </si>
  <si>
    <t>Esame1</t>
  </si>
  <si>
    <t>Esame2</t>
  </si>
  <si>
    <t>Esame3</t>
  </si>
  <si>
    <t>Esame4</t>
  </si>
  <si>
    <t>Esame5</t>
  </si>
  <si>
    <t>Esame6</t>
  </si>
  <si>
    <t>Esame7</t>
  </si>
  <si>
    <t>Esame8</t>
  </si>
  <si>
    <t>Esame9</t>
  </si>
  <si>
    <t>Esame10</t>
  </si>
  <si>
    <t>Esame11</t>
  </si>
  <si>
    <t>Esame12</t>
  </si>
  <si>
    <t>Esame13</t>
  </si>
  <si>
    <t>Esame14</t>
  </si>
  <si>
    <t>Esame15</t>
  </si>
  <si>
    <t>Esame16</t>
  </si>
  <si>
    <t>Esame17</t>
  </si>
  <si>
    <t>Esame18</t>
  </si>
  <si>
    <t>Esame19</t>
  </si>
  <si>
    <t>Esame20</t>
  </si>
  <si>
    <t>Esame21</t>
  </si>
  <si>
    <t>Esame22</t>
  </si>
  <si>
    <t>Esame23</t>
  </si>
  <si>
    <t>Esame24</t>
  </si>
  <si>
    <t>Esame25</t>
  </si>
  <si>
    <t>Esame26</t>
  </si>
  <si>
    <t>Esame27</t>
  </si>
  <si>
    <t>Esame28</t>
  </si>
  <si>
    <t>Esame29</t>
  </si>
  <si>
    <t>Esame30</t>
  </si>
  <si>
    <t>Numero tot.esami</t>
  </si>
  <si>
    <t>Votazione 30</t>
  </si>
  <si>
    <t>Votazione 28</t>
  </si>
  <si>
    <t>Votazione 26</t>
  </si>
  <si>
    <t>Votazione 25</t>
  </si>
  <si>
    <t>Votazione 22</t>
  </si>
  <si>
    <t>Somma</t>
  </si>
  <si>
    <t>Media anno 1995</t>
  </si>
  <si>
    <t>Media anno 1996</t>
  </si>
  <si>
    <t>Media anno 1997</t>
  </si>
  <si>
    <t>Media anno 1998</t>
  </si>
  <si>
    <t>Media anno 1999</t>
  </si>
  <si>
    <t>Media anno 2000</t>
  </si>
  <si>
    <t>Media</t>
  </si>
  <si>
    <t>Minimo</t>
  </si>
  <si>
    <t>Massimo</t>
  </si>
  <si>
    <t>REGIONI E
RIPARTIZIONI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</si>
  <si>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</si>
  <si>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</si>
  <si>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</si>
  <si>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</si>
  <si>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</si>
  <si>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Lombardia                             </t>
  </si>
  <si>
    <t>Numero medio giornaliero di sigarette consumate per sesso, classe di età e regione - Anno 2000</t>
  </si>
  <si>
    <t>Classi di età</t>
  </si>
  <si>
    <t>Nord</t>
  </si>
  <si>
    <t>Sud</t>
  </si>
  <si>
    <t>Centro</t>
  </si>
  <si>
    <t>65 e oltre</t>
  </si>
  <si>
    <t>Consumo max</t>
  </si>
  <si>
    <t>Lombardia/Italia</t>
  </si>
  <si>
    <t>Lombardia/Nord</t>
  </si>
  <si>
    <t>Lombardia/Centro</t>
  </si>
  <si>
    <t>Lombardia/Sud</t>
  </si>
  <si>
    <t>MASCHI</t>
  </si>
  <si>
    <t>FEMMINE</t>
  </si>
  <si>
    <t>Italia (media)</t>
  </si>
  <si>
    <t>FILM</t>
  </si>
  <si>
    <t>SPORT</t>
  </si>
  <si>
    <t>VARIETA'</t>
  </si>
  <si>
    <t>RAI</t>
  </si>
  <si>
    <t>RAI 1</t>
  </si>
  <si>
    <t>RAI 3</t>
  </si>
  <si>
    <t>RAI 2</t>
  </si>
  <si>
    <t>CANALE 5</t>
  </si>
  <si>
    <t>ITALIA 1</t>
  </si>
  <si>
    <t>RETE 4</t>
  </si>
  <si>
    <t>Ore trasmissione</t>
  </si>
  <si>
    <t>MUSICA</t>
  </si>
  <si>
    <t>INCHIESTE, DOCUMENTARI</t>
  </si>
  <si>
    <t>TELEGIORNALI</t>
  </si>
  <si>
    <t>PROGRAMMI CULTURALI</t>
  </si>
  <si>
    <t>Tot. Ore</t>
  </si>
  <si>
    <t>MEDIASET</t>
  </si>
  <si>
    <t>TOTALE RAI</t>
  </si>
  <si>
    <t>TOTALE MEDIASET</t>
  </si>
  <si>
    <t>TOTALI ore</t>
  </si>
  <si>
    <t xml:space="preserve">Ore trasmissione televisiva </t>
  </si>
  <si>
    <t>Rai o Mediaset ?</t>
  </si>
  <si>
    <t>Rai 1 o Canale 5 ?</t>
  </si>
  <si>
    <t>Rai 1 o Rai 3</t>
  </si>
  <si>
    <t>Canale 5 o Rete 4 ?</t>
  </si>
  <si>
    <t>% ore</t>
  </si>
  <si>
    <r>
      <t>Ore di trasmissione televisiva di Rai e Mediaset per canale, tipo di rete e di programma - Anno 2000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</si>
  <si>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Lombardia</t>
  </si>
  <si>
    <t>Numero di persone che bevono vino e/o birra (Anno 2000) - Tassi per 100 persone (dati ISTAT)</t>
  </si>
  <si>
    <t>BIRRA</t>
  </si>
  <si>
    <t>Diff. % consumo</t>
  </si>
  <si>
    <t>maschi/femm.</t>
  </si>
  <si>
    <t>15-34</t>
  </si>
  <si>
    <t>35-44</t>
  </si>
  <si>
    <t>45-54</t>
  </si>
  <si>
    <t>55-64</t>
  </si>
  <si>
    <t>(su valori medi)</t>
  </si>
  <si>
    <t>Numero persone</t>
  </si>
  <si>
    <t xml:space="preserve">Italia </t>
  </si>
  <si>
    <t>VINO</t>
  </si>
  <si>
    <t>Nord vino o birra</t>
  </si>
  <si>
    <t>Centro vino o birra</t>
  </si>
  <si>
    <t>Sud vino o birra</t>
  </si>
  <si>
    <t>Italia vino o birra</t>
  </si>
  <si>
    <t>ITALIA</t>
  </si>
  <si>
    <t>Piemonte</t>
  </si>
  <si>
    <t>Valle d'Aosta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</si>
  <si>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</si>
  <si>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</si>
  <si>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</si>
  <si>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</si>
  <si>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</si>
  <si>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</si>
  <si>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</si>
  <si>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</si>
  <si>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</si>
  <si>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</si>
  <si>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</si>
  <si>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</si>
  <si>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</si>
  <si>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</si>
  <si>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</si>
  <si>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</si>
  <si>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</si>
  <si>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Numero medio di componenti</t>
  </si>
  <si>
    <t>Composizione percentuale per num. componenti</t>
  </si>
  <si>
    <t>Numero medio di componenti per famiglia e composizione percentuale delle famiglie per numero</t>
  </si>
  <si>
    <t>Media anni 1999-2000 (dati ISTAT)</t>
  </si>
  <si>
    <t>1 componente</t>
  </si>
  <si>
    <t>2 componenti</t>
  </si>
  <si>
    <t>3 componenti</t>
  </si>
  <si>
    <t>4 componenti</t>
  </si>
  <si>
    <t>5 componenti</t>
  </si>
  <si>
    <t>6 e più componenti</t>
  </si>
  <si>
    <t>max per regioni [%]</t>
  </si>
  <si>
    <t>min per regioni [%]</t>
  </si>
  <si>
    <t>media per regioni [%]</t>
  </si>
  <si>
    <t>Num. regioni superiore media</t>
  </si>
  <si>
    <t>Num. regioni inferiore media</t>
  </si>
  <si>
    <t>Calcio, calcetto</t>
  </si>
  <si>
    <t>Sport
invernali,
alpinismo</t>
  </si>
  <si>
    <t>Maschi</t>
  </si>
  <si>
    <t>Femmine</t>
  </si>
  <si>
    <t>Numero sport praticati</t>
  </si>
  <si>
    <t>Uno</t>
  </si>
  <si>
    <t>Tre o più</t>
  </si>
  <si>
    <t>Due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</si>
  <si>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</si>
  <si>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</si>
  <si>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</si>
  <si>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</si>
  <si>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</si>
  <si>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</si>
  <si>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</si>
  <si>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</si>
  <si>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</si>
  <si>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</si>
  <si>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Anni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</si>
  <si>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</si>
  <si>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</si>
  <si>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</si>
  <si>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</si>
  <si>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</si>
  <si>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</si>
  <si>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</si>
  <si>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</si>
  <si>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Pratica sportiva</t>
  </si>
  <si>
    <t>Dati ISTAT)</t>
  </si>
  <si>
    <t>Più maschi o femmine rispetto a media</t>
  </si>
  <si>
    <t>max Italia</t>
  </si>
  <si>
    <t>min Italia</t>
  </si>
  <si>
    <t>Num. praticanti sup. media tot - Femmine</t>
  </si>
  <si>
    <t>Persone di 6 anni e più che praticano sport con continuità</t>
  </si>
  <si>
    <t>Num. anni maschi sup. media maschi</t>
  </si>
  <si>
    <t>Numero persone che praticano sport distinti per sesso</t>
  </si>
  <si>
    <t>Media tot. anni Maschi</t>
  </si>
  <si>
    <t>Media tot. anni Femmine</t>
  </si>
  <si>
    <t>Num. tot. motivazioni</t>
  </si>
  <si>
    <t>dati per l'intera provincia</t>
  </si>
  <si>
    <t>provincia</t>
  </si>
  <si>
    <t>biglietti venduti</t>
  </si>
  <si>
    <t>percentuale rispetto  Lombardia</t>
  </si>
  <si>
    <t>spesa tot. (milioni di lire)</t>
  </si>
  <si>
    <t>spesa media biglietto (lire)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</si>
  <si>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</si>
  <si>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</si>
  <si>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</si>
  <si>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</si>
  <si>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</si>
  <si>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</si>
  <si>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</si>
  <si>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</si>
  <si>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</si>
  <si>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</si>
  <si>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</si>
  <si>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min prov.</t>
  </si>
  <si>
    <t>Numero provincie</t>
  </si>
  <si>
    <t>Province con più di 1.000.000 biglietti venduti</t>
  </si>
  <si>
    <t>Province con meno di 700.000 biglietti venduti</t>
  </si>
  <si>
    <t>biglietti venduti  per il cinematografo, per capoluogo di provincia - Anno 1998</t>
  </si>
  <si>
    <t>(spesa del pubblico in milioni di lire - valori correnti)</t>
  </si>
  <si>
    <t>Numero edifici costruiti periodo 1971-1990</t>
  </si>
  <si>
    <t>Numero edifici costruiti periodo 1991-2001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</si>
</sst>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0"/>
    </font>
    <font>
      <sz val="6"/>
      <name val="Arial"/>
      <family val="2"/>
    </font>
    <font>
      <b/>
      <sz val="9.75"/>
      <name val="Arial"/>
      <family val="2"/>
    </font>
    <font>
      <sz val="10.25"/>
      <name val="Arial"/>
      <family val="0"/>
    </font>
    <font>
      <sz val="7"/>
      <name val="Arial"/>
      <family val="2"/>
    </font>
    <font>
      <sz val="6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sz val="7"/>
      <name val="Times New Roman"/>
      <family val="0"/>
    </font>
    <font>
      <sz val="29.25"/>
      <name val="Arial"/>
      <family val="0"/>
    </font>
    <font>
      <b/>
      <sz val="7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0" borderId="3" xfId="0" applyFon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20" applyFont="1">
      <alignment/>
      <protection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164" fontId="1" fillId="3" borderId="21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9" fontId="3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3" borderId="31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164" fontId="0" fillId="3" borderId="17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164" fontId="0" fillId="3" borderId="38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49" fontId="11" fillId="0" borderId="17" xfId="0" applyNumberFormat="1" applyFont="1" applyFill="1" applyBorder="1" applyAlignment="1">
      <alignment horizontal="left"/>
    </xf>
    <xf numFmtId="164" fontId="0" fillId="3" borderId="39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49" fontId="11" fillId="0" borderId="21" xfId="0" applyNumberFormat="1" applyFont="1" applyFill="1" applyBorder="1" applyAlignment="1">
      <alignment horizontal="left"/>
    </xf>
    <xf numFmtId="164" fontId="0" fillId="3" borderId="37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11" fillId="0" borderId="0" xfId="0" applyFont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48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10" fontId="0" fillId="3" borderId="3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0" fontId="0" fillId="3" borderId="31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49" xfId="0" applyNumberFormat="1" applyFont="1" applyFill="1" applyBorder="1" applyAlignment="1">
      <alignment/>
    </xf>
    <xf numFmtId="164" fontId="1" fillId="3" borderId="50" xfId="0" applyNumberFormat="1" applyFont="1" applyFill="1" applyBorder="1" applyAlignment="1">
      <alignment/>
    </xf>
    <xf numFmtId="164" fontId="1" fillId="3" borderId="5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164" fontId="1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8" fillId="0" borderId="35" xfId="0" applyNumberFormat="1" applyFont="1" applyBorder="1" applyAlignment="1">
      <alignment horizontal="right" vertical="center"/>
    </xf>
    <xf numFmtId="164" fontId="8" fillId="0" borderId="31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20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164" fontId="1" fillId="3" borderId="2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181" fontId="0" fillId="0" borderId="0" xfId="17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3" xfId="19" applyFont="1" applyBorder="1">
      <alignment/>
      <protection/>
    </xf>
    <xf numFmtId="3" fontId="12" fillId="0" borderId="3" xfId="17" applyNumberFormat="1" applyFont="1" applyBorder="1" applyAlignment="1">
      <alignment/>
    </xf>
    <xf numFmtId="179" fontId="12" fillId="3" borderId="3" xfId="17" applyNumberFormat="1" applyFont="1" applyFill="1" applyBorder="1" applyAlignment="1">
      <alignment/>
    </xf>
    <xf numFmtId="41" fontId="12" fillId="0" borderId="3" xfId="17" applyFont="1" applyBorder="1" applyAlignment="1">
      <alignment/>
    </xf>
    <xf numFmtId="180" fontId="0" fillId="3" borderId="3" xfId="18" applyNumberFormat="1" applyFont="1" applyFill="1" applyBorder="1">
      <alignment/>
      <protection/>
    </xf>
    <xf numFmtId="41" fontId="12" fillId="0" borderId="1" xfId="17" applyFont="1" applyBorder="1" applyAlignment="1">
      <alignment/>
    </xf>
    <xf numFmtId="0" fontId="11" fillId="0" borderId="3" xfId="19" applyFont="1" applyBorder="1">
      <alignment/>
      <protection/>
    </xf>
    <xf numFmtId="3" fontId="11" fillId="3" borderId="3" xfId="17" applyNumberFormat="1" applyFont="1" applyFill="1" applyBorder="1" applyAlignment="1">
      <alignment/>
    </xf>
    <xf numFmtId="179" fontId="12" fillId="3" borderId="35" xfId="17" applyNumberFormat="1" applyFont="1" applyFill="1" applyBorder="1" applyAlignment="1">
      <alignment/>
    </xf>
    <xf numFmtId="41" fontId="11" fillId="3" borderId="3" xfId="17" applyFont="1" applyFill="1" applyBorder="1" applyAlignment="1">
      <alignment/>
    </xf>
    <xf numFmtId="180" fontId="1" fillId="3" borderId="10" xfId="18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3" fontId="11" fillId="3" borderId="3" xfId="0" applyNumberFormat="1" applyFont="1" applyFill="1" applyBorder="1" applyAlignment="1">
      <alignment/>
    </xf>
    <xf numFmtId="0" fontId="11" fillId="0" borderId="0" xfId="19" applyFont="1" applyBorder="1" applyAlignment="1">
      <alignment horizontal="center"/>
      <protection/>
    </xf>
    <xf numFmtId="0" fontId="11" fillId="0" borderId="13" xfId="19" applyFont="1" applyBorder="1" applyAlignment="1">
      <alignment horizontal="center"/>
      <protection/>
    </xf>
    <xf numFmtId="0" fontId="11" fillId="0" borderId="18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79" fontId="12" fillId="0" borderId="0" xfId="17" applyNumberFormat="1" applyFont="1" applyFill="1" applyAlignment="1">
      <alignment/>
    </xf>
    <xf numFmtId="180" fontId="11" fillId="3" borderId="3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0">
    <cellStyle name="Normal" xfId="0"/>
    <cellStyle name="Euro" xfId="15"/>
    <cellStyle name="Comma" xfId="16"/>
    <cellStyle name="Comma [0]" xfId="17"/>
    <cellStyle name="Normale_6-10" xfId="18"/>
    <cellStyle name="Normale_tav_6_10" xfId="19"/>
    <cellStyle name="Normale_tav4.3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ore trasmissione programmi RAI e MEDIASET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775"/>
          <c:w val="0.93025"/>
          <c:h val="0.89225"/>
        </c:manualLayout>
      </c:layout>
      <c:barChart>
        <c:barDir val="col"/>
        <c:grouping val="clustered"/>
        <c:varyColors val="0"/>
        <c:ser>
          <c:idx val="3"/>
          <c:order val="0"/>
          <c:tx>
            <c:v>RAI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'es3_trasmissioni'!$J$5:$J$11</c:f>
              <c:numCache/>
            </c:numRef>
          </c:val>
        </c:ser>
        <c:ser>
          <c:idx val="0"/>
          <c:order val="1"/>
          <c:tx>
            <c:v>Mediaset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'es3_trasmissioni'!$K$5:$K$11</c:f>
              <c:numCache/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programma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auto val="1"/>
        <c:lblOffset val="100"/>
        <c:noMultiLvlLbl val="0"/>
      </c:catAx>
      <c:valAx>
        <c:axId val="574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5000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3975"/>
          <c:y val="0.916"/>
          <c:w val="0.43675"/>
          <c:h val="0.0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consumo birra-vino - maschi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31"/>
          <c:w val="0.9535"/>
          <c:h val="0.8185"/>
        </c:manualLayout>
      </c:layout>
      <c:lineChart>
        <c:grouping val="standard"/>
        <c:varyColors val="0"/>
        <c:ser>
          <c:idx val="3"/>
          <c:order val="0"/>
          <c:tx>
            <c:v>Nord birra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'es6_birra'!$H$7:$L$7</c:f>
              <c:numCache/>
            </c:numRef>
          </c:val>
          <c:smooth val="0"/>
        </c:ser>
        <c:ser>
          <c:idx val="2"/>
          <c:order val="1"/>
          <c:tx>
            <c:v>Nord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'es6_birra'!$H$15:$L$15</c:f>
              <c:numCache/>
            </c:numRef>
          </c:val>
          <c:smooth val="0"/>
        </c:ser>
        <c:ser>
          <c:idx val="0"/>
          <c:order val="2"/>
          <c:tx>
            <c:v>Italia birra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'es6_birra'!$H$10:$L$10</c:f>
              <c:numCache/>
            </c:numRef>
          </c:val>
          <c:smooth val="0"/>
        </c:ser>
        <c:ser>
          <c:idx val="1"/>
          <c:order val="3"/>
          <c:tx>
            <c:v>Italia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'es6_birra'!$H$18:$L$18</c:f>
              <c:numCache/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Fasce di età [anni]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auto val="1"/>
        <c:lblOffset val="100"/>
        <c:noMultiLvlLbl val="0"/>
      </c:catAx>
      <c:valAx>
        <c:axId val="6431255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Num. maschi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675"/>
          <c:y val="0.93225"/>
          <c:w val="0.8207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Confronto consumo medio birra-vino</a:t>
            </a:r>
          </a:p>
        </c:rich>
      </c:tx>
      <c:layout>
        <c:manualLayout>
          <c:xMode val="factor"/>
          <c:yMode val="factor"/>
          <c:x val="0.01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05"/>
          <c:w val="0.938"/>
          <c:h val="0.782"/>
        </c:manualLayout>
      </c:layout>
      <c:lineChart>
        <c:grouping val="standard"/>
        <c:varyColors val="0"/>
        <c:ser>
          <c:idx val="3"/>
          <c:order val="0"/>
          <c:tx>
            <c:v>Birra femmine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'es6_birra'!$G$7:$G$10</c:f>
              <c:numCache/>
            </c:numRef>
          </c:val>
          <c:smooth val="0"/>
        </c:ser>
        <c:ser>
          <c:idx val="2"/>
          <c:order val="1"/>
          <c:tx>
            <c:v>Birra 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'es6_birra'!$M$7:$M$10</c:f>
              <c:numCache/>
            </c:numRef>
          </c:val>
          <c:smooth val="0"/>
        </c:ser>
        <c:ser>
          <c:idx val="0"/>
          <c:order val="2"/>
          <c:tx>
            <c:v>Vino femmine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'es6_birra'!$G$15:$G$18</c:f>
              <c:numCache/>
            </c:numRef>
          </c:val>
          <c:smooth val="0"/>
        </c:ser>
        <c:ser>
          <c:idx val="1"/>
          <c:order val="3"/>
          <c:tx>
            <c:v>Vino 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'es6_birra'!$A$7:$A$10</c:f>
              <c:strCache/>
            </c:strRef>
          </c:cat>
          <c:val>
            <c:numRef>
              <c:f>'es6_birra'!$M$15:$M$18</c:f>
              <c:numCache/>
            </c:numRef>
          </c:val>
          <c:smooth val="0"/>
        </c:ser>
        <c:marker val="1"/>
        <c:axId val="41942039"/>
        <c:axId val="41934032"/>
      </c:lineChart>
      <c:catAx>
        <c:axId val="4194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34032"/>
        <c:crosses val="autoZero"/>
        <c:auto val="1"/>
        <c:lblOffset val="100"/>
        <c:noMultiLvlLbl val="0"/>
      </c:catAx>
      <c:valAx>
        <c:axId val="41934032"/>
        <c:scaling>
          <c:orientation val="minMax"/>
          <c:max val="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Num. medio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942039"/>
        <c:crossesAt val="1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017"/>
          <c:y val="0.90175"/>
          <c:w val="0.983"/>
          <c:h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Motivazioni pratica di uno sport</a:t>
            </a:r>
          </a:p>
        </c:rich>
      </c:tx>
      <c:layout>
        <c:manualLayout>
          <c:xMode val="factor"/>
          <c:yMode val="factor"/>
          <c:x val="-0.00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475"/>
          <c:w val="0.948"/>
          <c:h val="0.9525"/>
        </c:manualLayout>
      </c:layout>
      <c:barChart>
        <c:barDir val="col"/>
        <c:grouping val="clustered"/>
        <c:varyColors val="0"/>
        <c:ser>
          <c:idx val="1"/>
          <c:order val="2"/>
          <c:tx>
            <c:v>Italia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'es8_sport'!$B$9:$J$9</c:f>
              <c:strCache/>
            </c:strRef>
          </c:cat>
          <c:val>
            <c:numRef>
              <c:f>'es8_sport'!$B$12:$J$12</c:f>
              <c:numCache/>
            </c:numRef>
          </c:val>
        </c:ser>
        <c:axId val="41861969"/>
        <c:axId val="41213402"/>
      </c:barChart>
      <c:lineChart>
        <c:grouping val="standard"/>
        <c:varyColors val="0"/>
        <c:ser>
          <c:idx val="0"/>
          <c:order val="0"/>
          <c:tx>
            <c:v>Maschi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'es8_sport'!$B$9:$J$9</c:f>
              <c:strCache/>
            </c:strRef>
          </c:cat>
          <c:val>
            <c:numRef>
              <c:f>'es8_sport'!$B$10:$J$10</c:f>
              <c:numCache/>
            </c:numRef>
          </c:val>
          <c:smooth val="0"/>
        </c:ser>
        <c:ser>
          <c:idx val="3"/>
          <c:order val="1"/>
          <c:tx>
            <c:v>Femmine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'es8_sport'!$B$9:$J$9</c:f>
              <c:strCache/>
            </c:strRef>
          </c:cat>
          <c:val>
            <c:numRef>
              <c:f>'es8_sport'!$B$11:$J$11</c:f>
              <c:numCache/>
            </c:numRef>
          </c:val>
          <c:smooth val="0"/>
        </c:ser>
        <c:axId val="41861969"/>
        <c:axId val="41213402"/>
      </c:lineChart>
      <c:catAx>
        <c:axId val="41861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auto val="1"/>
        <c:lblOffset val="0"/>
        <c:noMultiLvlLbl val="0"/>
      </c:catAx>
      <c:valAx>
        <c:axId val="41213402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61969"/>
        <c:crossesAt val="1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38"/>
          <c:y val="0.248"/>
          <c:w val="0.19"/>
          <c:h val="0.1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Pratica sportiva - Maschi</a:t>
            </a:r>
          </a:p>
        </c:rich>
      </c:tx>
      <c:layout>
        <c:manualLayout>
          <c:xMode val="factor"/>
          <c:yMode val="factor"/>
          <c:x val="-0.12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5425"/>
          <c:w val="0.6725"/>
          <c:h val="0.7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'es8_sport'!$B$26:$K$26</c:f>
              <c:strCache/>
            </c:strRef>
          </c:cat>
          <c:val>
            <c:numRef>
              <c:f>'es8_sport'!$B$27:$K$27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022"/>
          <c:w val="0.19425"/>
          <c:h val="0.9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Pratica sportiva - Femmine</a:t>
            </a:r>
          </a:p>
        </c:rich>
      </c:tx>
      <c:layout>
        <c:manualLayout>
          <c:xMode val="factor"/>
          <c:yMode val="factor"/>
          <c:x val="-0.128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25"/>
          <c:y val="0.3825"/>
          <c:w val="0.71025"/>
          <c:h val="0.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'es8_sport'!$B$26:$K$26</c:f>
              <c:strCache/>
            </c:strRef>
          </c:cat>
          <c:val>
            <c:numRef>
              <c:f>'es8_sport'!$B$28:$K$28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"/>
          <c:w val="0.1865"/>
          <c:h val="0.99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ore trasmissione programmi RAI 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075"/>
          <c:w val="0.9435"/>
          <c:h val="0.88825"/>
        </c:manualLayout>
      </c:layout>
      <c:barChart>
        <c:barDir val="col"/>
        <c:grouping val="clustered"/>
        <c:varyColors val="0"/>
        <c:ser>
          <c:idx val="3"/>
          <c:order val="0"/>
          <c:tx>
            <c:v>Rai 1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'es3_trasmissioni'!$B$5:$B$11</c:f>
              <c:numCache/>
            </c:numRef>
          </c:val>
        </c:ser>
        <c:ser>
          <c:idx val="0"/>
          <c:order val="1"/>
          <c:tx>
            <c:v>Rai 2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'es3_trasmissioni'!$C$5:$C$11</c:f>
              <c:numCache/>
            </c:numRef>
          </c:val>
        </c:ser>
        <c:ser>
          <c:idx val="1"/>
          <c:order val="2"/>
          <c:tx>
            <c:v>Rai 3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'es3_trasmissioni'!$D$5:$D$11</c:f>
              <c:numCache/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4887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08"/>
          <c:y val="0.937"/>
          <c:w val="0.354"/>
          <c:h val="0.0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ore trasmissione programmi RAI </a:t>
            </a:r>
          </a:p>
        </c:rich>
      </c:tx>
      <c:layout>
        <c:manualLayout>
          <c:xMode val="factor"/>
          <c:yMode val="factor"/>
          <c:x val="-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44"/>
          <c:w val="0.946"/>
          <c:h val="0.903"/>
        </c:manualLayout>
      </c:layout>
      <c:barChart>
        <c:barDir val="col"/>
        <c:grouping val="clustered"/>
        <c:varyColors val="0"/>
        <c:ser>
          <c:idx val="3"/>
          <c:order val="0"/>
          <c:tx>
            <c:v>Canale 5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'es3_trasmissioni'!$E$5:$E$11</c:f>
              <c:numCache/>
            </c:numRef>
          </c:val>
        </c:ser>
        <c:ser>
          <c:idx val="0"/>
          <c:order val="1"/>
          <c:tx>
            <c:v>Italia 1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'es3_trasmissioni'!$F$5:$F$11</c:f>
              <c:numCache/>
            </c:numRef>
          </c:val>
        </c:ser>
        <c:ser>
          <c:idx val="1"/>
          <c:order val="2"/>
          <c:tx>
            <c:v>Rete 4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'es3_trasmissioni'!$A$5:$A$11</c:f>
              <c:strCache/>
            </c:strRef>
          </c:cat>
          <c:val>
            <c:numRef>
              <c:f>'es3_trasmissioni'!$G$5:$G$11</c:f>
              <c:numCache/>
            </c:numRef>
          </c:val>
        </c:ser>
        <c:axId val="52862663"/>
        <c:axId val="6001920"/>
      </c:barChart>
      <c:catAx>
        <c:axId val="528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programma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001920"/>
        <c:crosses val="autoZero"/>
        <c:auto val="1"/>
        <c:lblOffset val="100"/>
        <c:noMultiLvlLbl val="0"/>
      </c:catAx>
      <c:valAx>
        <c:axId val="600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86266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"/>
          <c:y val="0.9325"/>
          <c:w val="0.339"/>
          <c:h val="0.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Correlazione consumo maschi-femmine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525"/>
          <c:w val="0.949"/>
          <c:h val="0.772"/>
        </c:manualLayout>
      </c:layout>
      <c:barChart>
        <c:barDir val="col"/>
        <c:grouping val="clustered"/>
        <c:varyColors val="0"/>
        <c:ser>
          <c:idx val="3"/>
          <c:order val="0"/>
          <c:tx>
            <c:v>Nord-femmine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'es4_sigarette'!$B$6:$G$6</c:f>
              <c:numCache/>
            </c:numRef>
          </c:val>
        </c:ser>
        <c:ser>
          <c:idx val="5"/>
          <c:order val="1"/>
          <c:tx>
            <c:v>Nord-maschi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'es4_sigarette'!$I$6:$N$6</c:f>
              <c:numCache/>
            </c:numRef>
          </c:val>
        </c:ser>
        <c:ser>
          <c:idx val="4"/>
          <c:order val="2"/>
          <c:tx>
            <c:v>Sud-maschi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'es4_sigarette'!$I$8:$N$8</c:f>
              <c:numCache/>
            </c:numRef>
          </c:val>
        </c:ser>
        <c:ser>
          <c:idx val="0"/>
          <c:order val="3"/>
          <c:tx>
            <c:v>Sud-femmine</c:v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'es4_sigarette'!$B$3:$G$3</c:f>
              <c:strCache/>
            </c:strRef>
          </c:cat>
          <c:val>
            <c:numRef>
              <c:f>'es4_sigarette'!$B$8:$G$8</c:f>
              <c:numCache/>
            </c:numRef>
          </c:val>
        </c:ser>
        <c:axId val="54017281"/>
        <c:axId val="16393482"/>
      </c:barChart>
      <c:catAx>
        <c:axId val="5401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Fasce di età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93482"/>
        <c:crosses val="autoZero"/>
        <c:auto val="1"/>
        <c:lblOffset val="100"/>
        <c:noMultiLvlLbl val="0"/>
      </c:catAx>
      <c:valAx>
        <c:axId val="16393482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Num. sigarette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1728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5625"/>
          <c:y val="0.909"/>
          <c:w val="0.86875"/>
          <c:h val="0.08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Consumo medio per regione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4925"/>
          <c:w val="0.95325"/>
          <c:h val="0.8565"/>
        </c:manualLayout>
      </c:layout>
      <c:barChart>
        <c:barDir val="col"/>
        <c:grouping val="clustered"/>
        <c:varyColors val="0"/>
        <c:ser>
          <c:idx val="3"/>
          <c:order val="0"/>
          <c:tx>
            <c:v>Maschi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'es4_sigarette'!$A$5:$A$9</c:f>
              <c:strCache/>
            </c:strRef>
          </c:cat>
          <c:val>
            <c:numRef>
              <c:f>'es4_sigarette'!$H$5:$H$9</c:f>
              <c:numCache/>
            </c:numRef>
          </c:val>
        </c:ser>
        <c:ser>
          <c:idx val="5"/>
          <c:order val="1"/>
          <c:tx>
            <c:v>Femmine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'es4_sigarette'!$A$5:$A$9</c:f>
              <c:strCache/>
            </c:strRef>
          </c:cat>
          <c:val>
            <c:numRef>
              <c:f>'es4_sigarette'!$O$5:$O$9</c:f>
              <c:numCache/>
            </c:numRef>
          </c:val>
        </c:ser>
        <c:axId val="13323611"/>
        <c:axId val="52803636"/>
      </c:barChart>
      <c:catAx>
        <c:axId val="1332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3636"/>
        <c:crosses val="autoZero"/>
        <c:auto val="1"/>
        <c:lblOffset val="100"/>
        <c:noMultiLvlLbl val="0"/>
      </c:catAx>
      <c:valAx>
        <c:axId val="52803636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Num. sigarette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2361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6"/>
          <c:y val="0.932"/>
          <c:w val="0.764"/>
          <c:h val="0.0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% famiglie con dato numero di componenti</a:t>
            </a:r>
          </a:p>
        </c:rich>
      </c:tx>
      <c:layout>
        <c:manualLayout>
          <c:xMode val="factor"/>
          <c:yMode val="factor"/>
          <c:x val="-0.00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725"/>
          <c:w val="0.934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1 componente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'es5_famiglie'!$C$24:$C$27</c:f>
              <c:numCache/>
            </c:numRef>
          </c:val>
        </c:ser>
        <c:ser>
          <c:idx val="1"/>
          <c:order val="1"/>
          <c:tx>
            <c:v>2 componenti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'es5_famiglie'!$D$24:$D$27</c:f>
              <c:numCache/>
            </c:numRef>
          </c:val>
        </c:ser>
        <c:ser>
          <c:idx val="2"/>
          <c:order val="2"/>
          <c:tx>
            <c:v>3 componenti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'es5_famiglie'!$E$24:$E$27</c:f>
              <c:numCache/>
            </c:numRef>
          </c:val>
        </c:ser>
        <c:ser>
          <c:idx val="3"/>
          <c:order val="3"/>
          <c:tx>
            <c:v>5 componenti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'es5_famiglie'!$A$24:$A$27</c:f>
              <c:strCache/>
            </c:strRef>
          </c:cat>
          <c:val>
            <c:numRef>
              <c:f>'es5_famiglie'!$G$24:$G$27</c:f>
              <c:numCache/>
            </c:numRef>
          </c:val>
        </c:ser>
        <c:axId val="5470677"/>
        <c:axId val="49236094"/>
      </c:barChart>
      <c:catAx>
        <c:axId val="547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5"/>
          <c:y val="0.93"/>
          <c:w val="0.800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% famiglie con dato numero di componenti</a:t>
            </a:r>
          </a:p>
        </c:rich>
      </c:tx>
      <c:layout>
        <c:manualLayout>
          <c:xMode val="factor"/>
          <c:yMode val="factor"/>
          <c:x val="-0.00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655"/>
          <c:w val="0.93425"/>
          <c:h val="0.8685"/>
        </c:manualLayout>
      </c:layout>
      <c:barChart>
        <c:barDir val="col"/>
        <c:grouping val="clustered"/>
        <c:varyColors val="0"/>
        <c:ser>
          <c:idx val="1"/>
          <c:order val="3"/>
          <c:tx>
            <c:v>Lombardia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'es5_famiglie'!$C$3:$H$3</c:f>
              <c:strCache/>
            </c:strRef>
          </c:cat>
          <c:val>
            <c:numRef>
              <c:f>'es5_famiglie'!$C$6:$H$6</c:f>
              <c:numCache/>
            </c:numRef>
          </c:val>
        </c:ser>
        <c:axId val="40471663"/>
        <c:axId val="28700648"/>
      </c:barChart>
      <c:lineChart>
        <c:grouping val="standard"/>
        <c:varyColors val="0"/>
        <c:ser>
          <c:idx val="0"/>
          <c:order val="0"/>
          <c:tx>
            <c:v>Media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'es5_famiglie'!$C$30:$H$30</c:f>
              <c:numCache/>
            </c:numRef>
          </c:val>
          <c:smooth val="0"/>
        </c:ser>
        <c:ser>
          <c:idx val="2"/>
          <c:order val="1"/>
          <c:tx>
            <c:v>Minimo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'es5_famiglie'!$C$29:$H$29</c:f>
              <c:numCache/>
            </c:numRef>
          </c:val>
          <c:smooth val="0"/>
        </c:ser>
        <c:ser>
          <c:idx val="3"/>
          <c:order val="2"/>
          <c:tx>
            <c:v>Massimo regioni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'es5_famiglie'!$C$3:$H$3</c:f>
              <c:strCache/>
            </c:strRef>
          </c:cat>
          <c:val>
            <c:numRef>
              <c:f>'es5_famiglie'!$C$28:$H$28</c:f>
              <c:numCache/>
            </c:numRef>
          </c:val>
          <c:smooth val="0"/>
        </c:ser>
        <c:axId val="40471663"/>
        <c:axId val="28700648"/>
      </c:lineChart>
      <c:catAx>
        <c:axId val="4047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zona geografica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auto val="1"/>
        <c:lblOffset val="100"/>
        <c:noMultiLvlLbl val="0"/>
      </c:catAx>
      <c:valAx>
        <c:axId val="2870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famiglie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7166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375"/>
          <c:y val="0.9245"/>
          <c:w val="0.86175"/>
          <c:h val="0.0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Numero medio di componenti nucleo famigliare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"/>
          <c:w val="0.975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v>Num. Medio componenti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'es5_famiglie'!$A$4:$A$23</c:f>
              <c:strCache/>
            </c:strRef>
          </c:cat>
          <c:val>
            <c:numRef>
              <c:f>'es5_famiglie'!$B$4:$B$23</c:f>
              <c:numCache/>
            </c:numRef>
          </c:val>
        </c:ser>
        <c:axId val="56979241"/>
        <c:axId val="43051122"/>
      </c:bar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924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consumo birra-vino - Femmine</a:t>
            </a:r>
          </a:p>
        </c:rich>
      </c:tx>
      <c:layout>
        <c:manualLayout>
          <c:xMode val="factor"/>
          <c:yMode val="factor"/>
          <c:x val="0.028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505"/>
          <c:w val="0.952"/>
          <c:h val="0.7855"/>
        </c:manualLayout>
      </c:layout>
      <c:lineChart>
        <c:grouping val="standard"/>
        <c:varyColors val="0"/>
        <c:ser>
          <c:idx val="3"/>
          <c:order val="0"/>
          <c:tx>
            <c:v>Nord birra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'es6_birra'!$B$7:$F$7</c:f>
              <c:numCache/>
            </c:numRef>
          </c:val>
          <c:smooth val="0"/>
        </c:ser>
        <c:ser>
          <c:idx val="2"/>
          <c:order val="1"/>
          <c:tx>
            <c:v>Nord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'es6_birra'!$B$15:$F$15</c:f>
              <c:numCache/>
            </c:numRef>
          </c:val>
          <c:smooth val="0"/>
        </c:ser>
        <c:ser>
          <c:idx val="0"/>
          <c:order val="2"/>
          <c:tx>
            <c:v>Italia birra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'es6_birra'!$B$10:$F$10</c:f>
              <c:numCache/>
            </c:numRef>
          </c:val>
          <c:smooth val="0"/>
        </c:ser>
        <c:ser>
          <c:idx val="1"/>
          <c:order val="3"/>
          <c:tx>
            <c:v>Italia vino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'es6_birra'!$B$4:$F$4</c:f>
              <c:strCache/>
            </c:strRef>
          </c:cat>
          <c:val>
            <c:numRef>
              <c:f>'es6_birra'!$B$18:$F$18</c:f>
              <c:numCache/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Fasce di età [anni]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auto val="1"/>
        <c:lblOffset val="100"/>
        <c:noMultiLvlLbl val="0"/>
      </c:catAx>
      <c:valAx>
        <c:axId val="6458882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Num. donne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915779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8125"/>
          <c:y val="0.9375"/>
          <c:w val="0.823"/>
          <c:h val="0.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23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323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38100</xdr:rowOff>
    </xdr:from>
    <xdr:to>
      <xdr:col>11</xdr:col>
      <xdr:colOff>542925</xdr:colOff>
      <xdr:row>24</xdr:row>
      <xdr:rowOff>38100</xdr:rowOff>
    </xdr:to>
    <xdr:graphicFrame>
      <xdr:nvGraphicFramePr>
        <xdr:cNvPr id="9" name="Chart 9"/>
        <xdr:cNvGraphicFramePr/>
      </xdr:nvGraphicFramePr>
      <xdr:xfrm>
        <a:off x="3733800" y="2667000"/>
        <a:ext cx="3924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43</xdr:row>
      <xdr:rowOff>95250</xdr:rowOff>
    </xdr:from>
    <xdr:to>
      <xdr:col>12</xdr:col>
      <xdr:colOff>581025</xdr:colOff>
      <xdr:row>61</xdr:row>
      <xdr:rowOff>142875</xdr:rowOff>
    </xdr:to>
    <xdr:graphicFrame>
      <xdr:nvGraphicFramePr>
        <xdr:cNvPr id="10" name="Chart 10"/>
        <xdr:cNvGraphicFramePr/>
      </xdr:nvGraphicFramePr>
      <xdr:xfrm>
        <a:off x="3486150" y="8724900"/>
        <a:ext cx="48196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26</xdr:row>
      <xdr:rowOff>19050</xdr:rowOff>
    </xdr:from>
    <xdr:to>
      <xdr:col>7</xdr:col>
      <xdr:colOff>142875</xdr:colOff>
      <xdr:row>43</xdr:row>
      <xdr:rowOff>28575</xdr:rowOff>
    </xdr:to>
    <xdr:graphicFrame>
      <xdr:nvGraphicFramePr>
        <xdr:cNvPr id="11" name="Chart 11"/>
        <xdr:cNvGraphicFramePr/>
      </xdr:nvGraphicFramePr>
      <xdr:xfrm>
        <a:off x="76200" y="5895975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38100</xdr:rowOff>
    </xdr:from>
    <xdr:to>
      <xdr:col>10</xdr:col>
      <xdr:colOff>76200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8100" y="2657475"/>
        <a:ext cx="5162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16</xdr:row>
      <xdr:rowOff>38100</xdr:rowOff>
    </xdr:from>
    <xdr:to>
      <xdr:col>18</xdr:col>
      <xdr:colOff>38100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5238750" y="2657475"/>
        <a:ext cx="41624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31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14</xdr:col>
      <xdr:colOff>485775</xdr:colOff>
      <xdr:row>17</xdr:row>
      <xdr:rowOff>38100</xdr:rowOff>
    </xdr:to>
    <xdr:graphicFrame>
      <xdr:nvGraphicFramePr>
        <xdr:cNvPr id="9" name="Chart 12"/>
        <xdr:cNvGraphicFramePr/>
      </xdr:nvGraphicFramePr>
      <xdr:xfrm>
        <a:off x="5534025" y="314325"/>
        <a:ext cx="4143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495300</xdr:colOff>
      <xdr:row>34</xdr:row>
      <xdr:rowOff>123825</xdr:rowOff>
    </xdr:to>
    <xdr:graphicFrame>
      <xdr:nvGraphicFramePr>
        <xdr:cNvPr id="10" name="Chart 13"/>
        <xdr:cNvGraphicFramePr/>
      </xdr:nvGraphicFramePr>
      <xdr:xfrm>
        <a:off x="5534025" y="3105150"/>
        <a:ext cx="41529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32</xdr:row>
      <xdr:rowOff>28575</xdr:rowOff>
    </xdr:from>
    <xdr:to>
      <xdr:col>7</xdr:col>
      <xdr:colOff>219075</xdr:colOff>
      <xdr:row>43</xdr:row>
      <xdr:rowOff>76200</xdr:rowOff>
    </xdr:to>
    <xdr:graphicFrame>
      <xdr:nvGraphicFramePr>
        <xdr:cNvPr id="11" name="Chart 14"/>
        <xdr:cNvGraphicFramePr/>
      </xdr:nvGraphicFramePr>
      <xdr:xfrm>
        <a:off x="104775" y="5676900"/>
        <a:ext cx="505777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409575</xdr:colOff>
      <xdr:row>39</xdr:row>
      <xdr:rowOff>95250</xdr:rowOff>
    </xdr:to>
    <xdr:graphicFrame>
      <xdr:nvGraphicFramePr>
        <xdr:cNvPr id="1" name="Chart 5"/>
        <xdr:cNvGraphicFramePr/>
      </xdr:nvGraphicFramePr>
      <xdr:xfrm>
        <a:off x="0" y="4343400"/>
        <a:ext cx="4657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24</xdr:row>
      <xdr:rowOff>76200</xdr:rowOff>
    </xdr:from>
    <xdr:to>
      <xdr:col>16</xdr:col>
      <xdr:colOff>476250</xdr:colOff>
      <xdr:row>41</xdr:row>
      <xdr:rowOff>76200</xdr:rowOff>
    </xdr:to>
    <xdr:graphicFrame>
      <xdr:nvGraphicFramePr>
        <xdr:cNvPr id="2" name="Chart 6"/>
        <xdr:cNvGraphicFramePr/>
      </xdr:nvGraphicFramePr>
      <xdr:xfrm>
        <a:off x="4829175" y="4419600"/>
        <a:ext cx="4600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1</xdr:row>
      <xdr:rowOff>9525</xdr:rowOff>
    </xdr:from>
    <xdr:to>
      <xdr:col>18</xdr:col>
      <xdr:colOff>447675</xdr:colOff>
      <xdr:row>17</xdr:row>
      <xdr:rowOff>95250</xdr:rowOff>
    </xdr:to>
    <xdr:graphicFrame>
      <xdr:nvGraphicFramePr>
        <xdr:cNvPr id="3" name="Chart 7"/>
        <xdr:cNvGraphicFramePr/>
      </xdr:nvGraphicFramePr>
      <xdr:xfrm>
        <a:off x="7753350" y="180975"/>
        <a:ext cx="28670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31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38100</xdr:rowOff>
    </xdr:from>
    <xdr:to>
      <xdr:col>8</xdr:col>
      <xdr:colOff>209550</xdr:colOff>
      <xdr:row>44</xdr:row>
      <xdr:rowOff>123825</xdr:rowOff>
    </xdr:to>
    <xdr:graphicFrame>
      <xdr:nvGraphicFramePr>
        <xdr:cNvPr id="9" name="Chart 9"/>
        <xdr:cNvGraphicFramePr/>
      </xdr:nvGraphicFramePr>
      <xdr:xfrm>
        <a:off x="266700" y="6581775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0</xdr:row>
      <xdr:rowOff>0</xdr:rowOff>
    </xdr:from>
    <xdr:to>
      <xdr:col>17</xdr:col>
      <xdr:colOff>219075</xdr:colOff>
      <xdr:row>21</xdr:row>
      <xdr:rowOff>95250</xdr:rowOff>
    </xdr:to>
    <xdr:graphicFrame>
      <xdr:nvGraphicFramePr>
        <xdr:cNvPr id="10" name="Chart 10"/>
        <xdr:cNvGraphicFramePr/>
      </xdr:nvGraphicFramePr>
      <xdr:xfrm>
        <a:off x="6657975" y="0"/>
        <a:ext cx="40100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21</xdr:row>
      <xdr:rowOff>114300</xdr:rowOff>
    </xdr:from>
    <xdr:to>
      <xdr:col>17</xdr:col>
      <xdr:colOff>600075</xdr:colOff>
      <xdr:row>38</xdr:row>
      <xdr:rowOff>28575</xdr:rowOff>
    </xdr:to>
    <xdr:graphicFrame>
      <xdr:nvGraphicFramePr>
        <xdr:cNvPr id="11" name="Chart 11"/>
        <xdr:cNvGraphicFramePr/>
      </xdr:nvGraphicFramePr>
      <xdr:xfrm>
        <a:off x="7029450" y="4010025"/>
        <a:ext cx="40195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6.7109375" style="0" bestFit="1" customWidth="1"/>
    <col min="3" max="3" width="10.140625" style="0" bestFit="1" customWidth="1"/>
  </cols>
  <sheetData>
    <row r="1" ht="12.75">
      <c r="A1" s="4" t="s">
        <v>94</v>
      </c>
    </row>
    <row r="3" spans="1:3" ht="12.75">
      <c r="A3" s="35"/>
      <c r="B3" s="36" t="s">
        <v>3</v>
      </c>
      <c r="C3" s="36" t="s">
        <v>95</v>
      </c>
    </row>
    <row r="4" spans="1:3" ht="12.75">
      <c r="A4" s="35" t="s">
        <v>104</v>
      </c>
      <c r="B4" s="35">
        <v>1996</v>
      </c>
      <c r="C4" s="35">
        <v>22</v>
      </c>
    </row>
    <row r="5" spans="1:3" ht="12.75">
      <c r="A5" s="35" t="s">
        <v>96</v>
      </c>
      <c r="B5" s="35">
        <v>1995</v>
      </c>
      <c r="C5" s="35">
        <v>25</v>
      </c>
    </row>
    <row r="6" spans="1:3" ht="12.75">
      <c r="A6" s="35" t="s">
        <v>97</v>
      </c>
      <c r="B6" s="35">
        <v>1995</v>
      </c>
      <c r="C6" s="35">
        <v>25</v>
      </c>
    </row>
    <row r="7" spans="1:3" ht="12.75">
      <c r="A7" s="35" t="s">
        <v>98</v>
      </c>
      <c r="B7" s="35">
        <v>1995</v>
      </c>
      <c r="C7" s="35">
        <v>25</v>
      </c>
    </row>
    <row r="8" spans="1:3" ht="12.75">
      <c r="A8" s="35" t="s">
        <v>103</v>
      </c>
      <c r="B8" s="35">
        <v>1996</v>
      </c>
      <c r="C8" s="35">
        <v>25</v>
      </c>
    </row>
    <row r="9" spans="1:3" ht="12.75">
      <c r="A9" s="35" t="s">
        <v>99</v>
      </c>
      <c r="B9" s="35">
        <v>1995</v>
      </c>
      <c r="C9" s="35">
        <v>28</v>
      </c>
    </row>
    <row r="10" spans="1:3" ht="12.75">
      <c r="A10" s="35" t="s">
        <v>102</v>
      </c>
      <c r="B10" s="35">
        <v>1996</v>
      </c>
      <c r="C10" s="35">
        <v>28</v>
      </c>
    </row>
    <row r="11" spans="1:3" ht="12.75">
      <c r="A11" s="35" t="s">
        <v>100</v>
      </c>
      <c r="B11" s="35">
        <v>1995</v>
      </c>
      <c r="C11" s="35">
        <v>30</v>
      </c>
    </row>
    <row r="12" spans="1:3" ht="12.75">
      <c r="A12" s="35" t="s">
        <v>101</v>
      </c>
      <c r="B12" s="35">
        <v>1996</v>
      </c>
      <c r="C12" s="35">
        <v>30</v>
      </c>
    </row>
    <row r="13" spans="1:3" ht="12.75">
      <c r="A13" s="35" t="s">
        <v>112</v>
      </c>
      <c r="B13" s="35">
        <v>1998</v>
      </c>
      <c r="C13" s="35">
        <v>25</v>
      </c>
    </row>
    <row r="14" spans="1:3" ht="12.75">
      <c r="A14" s="35" t="s">
        <v>108</v>
      </c>
      <c r="B14" s="35">
        <v>1997</v>
      </c>
      <c r="C14" s="35">
        <v>26</v>
      </c>
    </row>
    <row r="15" spans="1:3" ht="12.75">
      <c r="A15" s="35" t="s">
        <v>105</v>
      </c>
      <c r="B15" s="35">
        <v>1997</v>
      </c>
      <c r="C15" s="35">
        <v>28</v>
      </c>
    </row>
    <row r="16" spans="1:3" ht="12.75">
      <c r="A16" s="35" t="s">
        <v>107</v>
      </c>
      <c r="B16" s="35">
        <v>1997</v>
      </c>
      <c r="C16" s="35">
        <v>28</v>
      </c>
    </row>
    <row r="17" spans="1:3" ht="12.75">
      <c r="A17" s="35" t="s">
        <v>109</v>
      </c>
      <c r="B17" s="35">
        <v>1997</v>
      </c>
      <c r="C17" s="35">
        <v>28</v>
      </c>
    </row>
    <row r="18" spans="1:3" ht="12.75">
      <c r="A18" s="35" t="s">
        <v>113</v>
      </c>
      <c r="B18" s="35">
        <v>1998</v>
      </c>
      <c r="C18" s="35">
        <v>28</v>
      </c>
    </row>
    <row r="19" spans="1:3" ht="12.75">
      <c r="A19" s="35" t="s">
        <v>106</v>
      </c>
      <c r="B19" s="35">
        <v>1997</v>
      </c>
      <c r="C19" s="35">
        <v>30</v>
      </c>
    </row>
    <row r="20" spans="1:3" ht="12.75">
      <c r="A20" s="35" t="s">
        <v>110</v>
      </c>
      <c r="B20" s="35">
        <v>1998</v>
      </c>
      <c r="C20" s="35">
        <v>30</v>
      </c>
    </row>
    <row r="21" spans="1:3" ht="12.75">
      <c r="A21" s="35" t="s">
        <v>111</v>
      </c>
      <c r="B21" s="35">
        <v>1998</v>
      </c>
      <c r="C21" s="35">
        <v>30</v>
      </c>
    </row>
    <row r="22" spans="1:3" ht="12.75">
      <c r="A22" s="35" t="s">
        <v>116</v>
      </c>
      <c r="B22" s="35">
        <v>1999</v>
      </c>
      <c r="C22" s="35">
        <v>22</v>
      </c>
    </row>
    <row r="23" spans="1:3" ht="12.75">
      <c r="A23" s="35" t="s">
        <v>117</v>
      </c>
      <c r="B23" s="35">
        <v>1999</v>
      </c>
      <c r="C23" s="35">
        <v>26</v>
      </c>
    </row>
    <row r="24" spans="1:3" ht="12.75">
      <c r="A24" s="35" t="s">
        <v>114</v>
      </c>
      <c r="B24" s="35">
        <v>1998</v>
      </c>
      <c r="C24" s="35">
        <v>28</v>
      </c>
    </row>
    <row r="25" spans="1:3" ht="12.75">
      <c r="A25" s="35" t="s">
        <v>118</v>
      </c>
      <c r="B25" s="35">
        <v>1999</v>
      </c>
      <c r="C25" s="35">
        <v>28</v>
      </c>
    </row>
    <row r="26" spans="1:3" ht="12.75">
      <c r="A26" s="35" t="s">
        <v>115</v>
      </c>
      <c r="B26" s="35">
        <v>1998</v>
      </c>
      <c r="C26" s="35">
        <v>30</v>
      </c>
    </row>
    <row r="27" spans="1:3" ht="12.75">
      <c r="A27" s="35" t="s">
        <v>120</v>
      </c>
      <c r="B27" s="35">
        <v>1999</v>
      </c>
      <c r="C27" s="35">
        <v>30</v>
      </c>
    </row>
    <row r="28" spans="1:3" ht="12.75">
      <c r="A28" s="35" t="s">
        <v>121</v>
      </c>
      <c r="B28" s="35">
        <v>1999</v>
      </c>
      <c r="C28" s="35">
        <v>30</v>
      </c>
    </row>
    <row r="29" spans="1:3" ht="12.75">
      <c r="A29" s="35" t="s">
        <v>122</v>
      </c>
      <c r="B29" s="35">
        <v>2000</v>
      </c>
      <c r="C29" s="35">
        <v>25</v>
      </c>
    </row>
    <row r="30" spans="1:3" ht="12.75">
      <c r="A30" s="35" t="s">
        <v>119</v>
      </c>
      <c r="B30" s="35">
        <v>1999</v>
      </c>
      <c r="C30" s="35">
        <v>28</v>
      </c>
    </row>
    <row r="31" spans="1:3" ht="12.75">
      <c r="A31" s="35" t="s">
        <v>123</v>
      </c>
      <c r="B31" s="35">
        <v>2000</v>
      </c>
      <c r="C31" s="35">
        <v>28</v>
      </c>
    </row>
    <row r="32" spans="1:3" ht="12.75">
      <c r="A32" s="35" t="s">
        <v>124</v>
      </c>
      <c r="B32" s="35">
        <v>2000</v>
      </c>
      <c r="C32" s="35">
        <v>30</v>
      </c>
    </row>
    <row r="33" spans="1:3" ht="12.75">
      <c r="A33" s="35" t="s">
        <v>125</v>
      </c>
      <c r="B33" s="35">
        <v>2000</v>
      </c>
      <c r="C33" s="35">
        <v>30</v>
      </c>
    </row>
    <row r="34" spans="2:3" ht="12.75">
      <c r="B34" s="5" t="s">
        <v>82</v>
      </c>
      <c r="C34" s="37">
        <f>MAX(C4:C33)</f>
        <v>30</v>
      </c>
    </row>
    <row r="35" spans="2:3" ht="12.75">
      <c r="B35" s="292" t="s">
        <v>83</v>
      </c>
      <c r="C35" s="38">
        <f>MIN(C4:C33)</f>
        <v>22</v>
      </c>
    </row>
    <row r="36" spans="2:3" ht="12.75">
      <c r="B36" s="292" t="s">
        <v>84</v>
      </c>
      <c r="C36" s="39">
        <f>AVERAGE(C4:C33)</f>
        <v>27.533333333333335</v>
      </c>
    </row>
    <row r="38" spans="1:3" ht="12.75">
      <c r="A38" s="4" t="s">
        <v>126</v>
      </c>
      <c r="C38" s="40">
        <f>COUNTA(C4:C33)</f>
        <v>30</v>
      </c>
    </row>
    <row r="39" spans="1:3" ht="12.75">
      <c r="A39" s="35" t="s">
        <v>127</v>
      </c>
      <c r="B39" s="35"/>
      <c r="C39" s="41">
        <f>COUNTIF(C4:C33,30)</f>
        <v>10</v>
      </c>
    </row>
    <row r="40" spans="1:3" ht="12.75">
      <c r="A40" s="35" t="s">
        <v>128</v>
      </c>
      <c r="B40" s="35"/>
      <c r="C40" s="41">
        <f>COUNTIF(C4:C33,28)</f>
        <v>10</v>
      </c>
    </row>
    <row r="41" spans="1:3" ht="12.75">
      <c r="A41" s="35" t="s">
        <v>129</v>
      </c>
      <c r="B41" s="35"/>
      <c r="C41" s="41">
        <f>COUNTIF(C4:C33,26)</f>
        <v>2</v>
      </c>
    </row>
    <row r="42" spans="1:3" ht="12.75">
      <c r="A42" s="35" t="s">
        <v>130</v>
      </c>
      <c r="B42" s="35"/>
      <c r="C42" s="41">
        <f>COUNTIF(C4:C33,25)</f>
        <v>6</v>
      </c>
    </row>
    <row r="43" spans="1:3" ht="12.75">
      <c r="A43" s="35" t="s">
        <v>131</v>
      </c>
      <c r="B43" s="35"/>
      <c r="C43" s="41">
        <f>COUNTIF(C4:C33,22)</f>
        <v>2</v>
      </c>
    </row>
    <row r="44" spans="1:3" ht="12.75">
      <c r="A44" s="42" t="s">
        <v>132</v>
      </c>
      <c r="B44" s="45"/>
      <c r="C44" s="38">
        <f>SUM(C39:C43)</f>
        <v>30</v>
      </c>
    </row>
    <row r="45" spans="1:3" s="13" customFormat="1" ht="12.75">
      <c r="A45" s="3"/>
      <c r="C45" s="48"/>
    </row>
    <row r="46" spans="3:5" s="13" customFormat="1" ht="12.75">
      <c r="C46" s="36" t="s">
        <v>139</v>
      </c>
      <c r="D46" s="36" t="s">
        <v>140</v>
      </c>
      <c r="E46" s="36" t="s">
        <v>141</v>
      </c>
    </row>
    <row r="47" spans="1:5" ht="12.75">
      <c r="A47" s="46" t="s">
        <v>133</v>
      </c>
      <c r="B47" s="46"/>
      <c r="C47" s="47">
        <f>AVERAGE(C5:C7,C9,C11)</f>
        <v>26.6</v>
      </c>
      <c r="D47" s="47">
        <f>MIN(C5:C7,C9,C11)</f>
        <v>25</v>
      </c>
      <c r="E47" s="47">
        <f>MAX(C5:C7,C9,C11)</f>
        <v>30</v>
      </c>
    </row>
    <row r="48" spans="1:5" ht="12.75">
      <c r="A48" s="35" t="s">
        <v>134</v>
      </c>
      <c r="B48" s="35"/>
      <c r="C48" s="43">
        <f>AVERAGE(C4,C8,C10,C12)</f>
        <v>26.25</v>
      </c>
      <c r="D48" s="43">
        <f>MIN(C4,C8,C10,C12)</f>
        <v>22</v>
      </c>
      <c r="E48" s="43">
        <f>MAX(C4,C8,C10,C12)</f>
        <v>30</v>
      </c>
    </row>
    <row r="49" spans="1:5" ht="12.75">
      <c r="A49" s="35" t="s">
        <v>135</v>
      </c>
      <c r="B49" s="35"/>
      <c r="C49" s="43">
        <f>AVERAGE(C14:C17,C19)</f>
        <v>28</v>
      </c>
      <c r="D49" s="43">
        <f>MIN(C14:C17,C19)</f>
        <v>26</v>
      </c>
      <c r="E49" s="43">
        <f>MAX(C14:C17,C19)</f>
        <v>30</v>
      </c>
    </row>
    <row r="50" spans="1:5" ht="12.75">
      <c r="A50" s="35" t="s">
        <v>136</v>
      </c>
      <c r="B50" s="35"/>
      <c r="C50" s="43">
        <f>AVERAGE(C13,C18,C20:C21,C24,C26)</f>
        <v>28.5</v>
      </c>
      <c r="D50" s="43">
        <f>MIN(C13,C18,C20:C21,C24,C26)</f>
        <v>25</v>
      </c>
      <c r="E50" s="43">
        <f>MAX(C13,C18,C20:C21,C24,C26)</f>
        <v>30</v>
      </c>
    </row>
    <row r="51" spans="1:5" ht="12.75">
      <c r="A51" s="35" t="s">
        <v>137</v>
      </c>
      <c r="B51" s="35"/>
      <c r="C51" s="43">
        <f>AVERAGE(C22:C23,C25,C27:C28,C30)</f>
        <v>27.333333333333332</v>
      </c>
      <c r="D51" s="43">
        <f>MIN(C22:C23,C25,C27:C28,C30)</f>
        <v>22</v>
      </c>
      <c r="E51" s="43">
        <f>MAX(C22:C23,C25,C27:C28,C30)</f>
        <v>30</v>
      </c>
    </row>
    <row r="52" spans="1:5" ht="12.75">
      <c r="A52" s="35" t="s">
        <v>138</v>
      </c>
      <c r="B52" s="35"/>
      <c r="C52" s="43">
        <f>AVERAGE(C29,C31:C33)</f>
        <v>28.25</v>
      </c>
      <c r="D52" s="43">
        <f>MIN(C29,C31:C33)</f>
        <v>25</v>
      </c>
      <c r="E52" s="43">
        <f>MAX(C29,C31:C33)</f>
        <v>30</v>
      </c>
    </row>
    <row r="53" ht="12.75">
      <c r="C53" s="44"/>
    </row>
  </sheetData>
  <printOptions gridLines="1" headings="1" horizontalCentered="1" verticalCentered="1"/>
  <pageMargins left="0.7874015748031497" right="0.1968503937007874" top="0.5905511811023623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7" bestFit="1" customWidth="1"/>
    <col min="2" max="2" width="13.7109375" style="17" bestFit="1" customWidth="1"/>
    <col min="3" max="3" width="13.28125" style="17" bestFit="1" customWidth="1"/>
    <col min="4" max="4" width="11.421875" style="17" bestFit="1" customWidth="1"/>
    <col min="5" max="5" width="8.140625" style="17" bestFit="1" customWidth="1"/>
    <col min="6" max="6" width="7.7109375" style="17" bestFit="1" customWidth="1"/>
    <col min="7" max="7" width="3.421875" style="13" customWidth="1"/>
  </cols>
  <sheetData>
    <row r="1" spans="1:7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</row>
    <row r="2" spans="1:7" s="4" customFormat="1" ht="12.75">
      <c r="A2" s="5"/>
      <c r="B2" s="5"/>
      <c r="C2" s="5"/>
      <c r="D2" s="6" t="s">
        <v>6</v>
      </c>
      <c r="E2" s="6" t="s">
        <v>7</v>
      </c>
      <c r="F2" s="6" t="s">
        <v>8</v>
      </c>
      <c r="G2" s="3"/>
    </row>
    <row r="3" spans="1:8" ht="12.75">
      <c r="A3" s="7" t="s">
        <v>9</v>
      </c>
      <c r="B3" s="8" t="s">
        <v>10</v>
      </c>
      <c r="C3" s="9" t="s">
        <v>11</v>
      </c>
      <c r="D3" s="10">
        <v>1998</v>
      </c>
      <c r="E3" s="11">
        <v>88</v>
      </c>
      <c r="F3" s="10">
        <v>452</v>
      </c>
      <c r="G3" s="12"/>
      <c r="H3" s="13"/>
    </row>
    <row r="4" spans="1:6" ht="12.75">
      <c r="A4" s="7" t="s">
        <v>12</v>
      </c>
      <c r="B4" s="8" t="s">
        <v>13</v>
      </c>
      <c r="C4" s="14" t="s">
        <v>14</v>
      </c>
      <c r="D4" s="15">
        <v>1974</v>
      </c>
      <c r="E4" s="16">
        <v>110</v>
      </c>
      <c r="F4" s="15">
        <v>442</v>
      </c>
    </row>
    <row r="5" spans="1:6" ht="12.75">
      <c r="A5" s="7" t="s">
        <v>15</v>
      </c>
      <c r="B5" s="8" t="s">
        <v>16</v>
      </c>
      <c r="C5" s="14" t="s">
        <v>17</v>
      </c>
      <c r="D5" s="15">
        <v>1999</v>
      </c>
      <c r="E5" s="16">
        <v>88</v>
      </c>
      <c r="F5" s="15">
        <v>421</v>
      </c>
    </row>
    <row r="6" spans="1:6" ht="12.75">
      <c r="A6" s="7" t="s">
        <v>18</v>
      </c>
      <c r="B6" s="8" t="s">
        <v>19</v>
      </c>
      <c r="C6" s="14" t="s">
        <v>17</v>
      </c>
      <c r="D6" s="15">
        <v>1996</v>
      </c>
      <c r="E6" s="16">
        <v>80</v>
      </c>
      <c r="F6" s="15">
        <v>391</v>
      </c>
    </row>
    <row r="7" spans="1:6" ht="12.75">
      <c r="A7" s="7" t="s">
        <v>20</v>
      </c>
      <c r="B7" s="8" t="s">
        <v>21</v>
      </c>
      <c r="C7" s="14" t="s">
        <v>17</v>
      </c>
      <c r="D7" s="15">
        <v>1996</v>
      </c>
      <c r="E7" s="16">
        <v>69</v>
      </c>
      <c r="F7" s="15">
        <v>384</v>
      </c>
    </row>
    <row r="8" spans="1:6" ht="12.75">
      <c r="A8" s="7" t="s">
        <v>22</v>
      </c>
      <c r="B8" s="8" t="s">
        <v>23</v>
      </c>
      <c r="C8" s="14" t="s">
        <v>14</v>
      </c>
      <c r="D8" s="15">
        <v>1931</v>
      </c>
      <c r="E8" s="16">
        <v>102</v>
      </c>
      <c r="F8" s="15">
        <v>381</v>
      </c>
    </row>
    <row r="9" spans="1:6" ht="12.75">
      <c r="A9" s="7" t="s">
        <v>24</v>
      </c>
      <c r="B9" s="8" t="s">
        <v>25</v>
      </c>
      <c r="C9" s="14" t="s">
        <v>26</v>
      </c>
      <c r="D9" s="15">
        <v>1992</v>
      </c>
      <c r="E9" s="16">
        <v>78</v>
      </c>
      <c r="F9" s="15">
        <v>374</v>
      </c>
    </row>
    <row r="10" spans="1:6" ht="12.75">
      <c r="A10" s="7" t="s">
        <v>27</v>
      </c>
      <c r="B10" s="8" t="s">
        <v>25</v>
      </c>
      <c r="C10" s="14" t="s">
        <v>26</v>
      </c>
      <c r="D10" s="15">
        <v>1989</v>
      </c>
      <c r="E10" s="16">
        <v>70</v>
      </c>
      <c r="F10" s="15">
        <v>369</v>
      </c>
    </row>
    <row r="11" spans="1:6" ht="12.75">
      <c r="A11" s="7" t="s">
        <v>28</v>
      </c>
      <c r="B11" s="8" t="s">
        <v>29</v>
      </c>
      <c r="C11" s="17" t="s">
        <v>29</v>
      </c>
      <c r="D11" s="15">
        <v>1999</v>
      </c>
      <c r="E11" s="16">
        <v>55</v>
      </c>
      <c r="F11" s="15">
        <v>355</v>
      </c>
    </row>
    <row r="12" spans="1:6" ht="12.75">
      <c r="A12" s="7" t="s">
        <v>30</v>
      </c>
      <c r="B12" s="8" t="s">
        <v>25</v>
      </c>
      <c r="C12" s="14" t="s">
        <v>26</v>
      </c>
      <c r="D12" s="15">
        <v>1998</v>
      </c>
      <c r="E12" s="16">
        <v>79</v>
      </c>
      <c r="F12" s="15">
        <v>350</v>
      </c>
    </row>
    <row r="13" spans="1:6" ht="12.75">
      <c r="A13" s="7" t="s">
        <v>31</v>
      </c>
      <c r="B13" s="8" t="s">
        <v>32</v>
      </c>
      <c r="C13" s="14" t="s">
        <v>33</v>
      </c>
      <c r="D13" s="15">
        <v>1997</v>
      </c>
      <c r="E13" s="16">
        <v>85</v>
      </c>
      <c r="F13" s="15">
        <v>348</v>
      </c>
    </row>
    <row r="14" spans="1:6" ht="12.75">
      <c r="A14" s="7" t="s">
        <v>34</v>
      </c>
      <c r="B14" s="8" t="s">
        <v>13</v>
      </c>
      <c r="C14" s="14" t="s">
        <v>14</v>
      </c>
      <c r="D14" s="15">
        <v>1973</v>
      </c>
      <c r="E14" s="16">
        <v>80</v>
      </c>
      <c r="F14" s="15">
        <v>346</v>
      </c>
    </row>
    <row r="15" spans="1:6" ht="12.75">
      <c r="A15" s="7" t="s">
        <v>35</v>
      </c>
      <c r="B15" s="8" t="s">
        <v>13</v>
      </c>
      <c r="C15" s="14" t="s">
        <v>14</v>
      </c>
      <c r="D15" s="15">
        <v>1969</v>
      </c>
      <c r="E15" s="16">
        <v>100</v>
      </c>
      <c r="F15" s="15">
        <v>344</v>
      </c>
    </row>
    <row r="16" spans="1:6" ht="12.75">
      <c r="A16" s="7" t="s">
        <v>36</v>
      </c>
      <c r="B16" s="8" t="s">
        <v>29</v>
      </c>
      <c r="C16" s="17" t="s">
        <v>37</v>
      </c>
      <c r="D16" s="15">
        <v>1999</v>
      </c>
      <c r="E16" s="16">
        <v>60</v>
      </c>
      <c r="F16" s="15">
        <v>321</v>
      </c>
    </row>
    <row r="17" spans="1:6" ht="12.75">
      <c r="A17" s="7" t="s">
        <v>38</v>
      </c>
      <c r="B17" s="8" t="s">
        <v>23</v>
      </c>
      <c r="C17" s="14" t="s">
        <v>14</v>
      </c>
      <c r="D17" s="15">
        <v>1930</v>
      </c>
      <c r="E17" s="16">
        <v>77</v>
      </c>
      <c r="F17" s="15">
        <v>319</v>
      </c>
    </row>
    <row r="18" spans="1:6" ht="12.75">
      <c r="A18" s="7" t="s">
        <v>39</v>
      </c>
      <c r="B18" s="8" t="s">
        <v>40</v>
      </c>
      <c r="C18" s="14" t="s">
        <v>14</v>
      </c>
      <c r="D18" s="15">
        <v>1993</v>
      </c>
      <c r="E18" s="16">
        <v>55</v>
      </c>
      <c r="F18" s="15">
        <v>312</v>
      </c>
    </row>
    <row r="19" spans="1:6" ht="12.75">
      <c r="A19" s="7" t="s">
        <v>41</v>
      </c>
      <c r="B19" s="8" t="s">
        <v>42</v>
      </c>
      <c r="C19" s="14" t="s">
        <v>14</v>
      </c>
      <c r="D19" s="15">
        <v>1990</v>
      </c>
      <c r="E19" s="16">
        <v>75</v>
      </c>
      <c r="F19" s="15">
        <v>310</v>
      </c>
    </row>
    <row r="20" spans="1:6" ht="12.75">
      <c r="A20" s="7" t="s">
        <v>43</v>
      </c>
      <c r="B20" s="8" t="s">
        <v>10</v>
      </c>
      <c r="C20" s="14" t="s">
        <v>11</v>
      </c>
      <c r="D20" s="15">
        <v>1999</v>
      </c>
      <c r="E20" s="16">
        <v>55</v>
      </c>
      <c r="F20" s="15">
        <v>310</v>
      </c>
    </row>
    <row r="21" spans="1:6" ht="12.75">
      <c r="A21" s="7" t="s">
        <v>44</v>
      </c>
      <c r="B21" s="8" t="s">
        <v>37</v>
      </c>
      <c r="C21" s="17" t="s">
        <v>37</v>
      </c>
      <c r="D21" s="15">
        <v>2000</v>
      </c>
      <c r="E21" s="16">
        <v>56</v>
      </c>
      <c r="F21" s="15">
        <v>309</v>
      </c>
    </row>
    <row r="22" spans="1:6" ht="12.75">
      <c r="A22" s="7" t="s">
        <v>45</v>
      </c>
      <c r="B22" s="8" t="s">
        <v>13</v>
      </c>
      <c r="C22" s="14" t="s">
        <v>14</v>
      </c>
      <c r="D22" s="15">
        <v>1989</v>
      </c>
      <c r="E22" s="16">
        <v>60</v>
      </c>
      <c r="F22" s="15">
        <v>307</v>
      </c>
    </row>
    <row r="23" spans="1:6" ht="12.75">
      <c r="A23" s="7" t="s">
        <v>46</v>
      </c>
      <c r="B23" s="8" t="s">
        <v>47</v>
      </c>
      <c r="C23" s="14" t="s">
        <v>14</v>
      </c>
      <c r="D23" s="15">
        <v>1982</v>
      </c>
      <c r="E23" s="16">
        <v>75</v>
      </c>
      <c r="F23" s="15">
        <v>305</v>
      </c>
    </row>
    <row r="24" spans="1:6" ht="12.75">
      <c r="A24" s="7" t="s">
        <v>48</v>
      </c>
      <c r="B24" s="8" t="s">
        <v>49</v>
      </c>
      <c r="C24" s="14" t="s">
        <v>50</v>
      </c>
      <c r="D24" s="15">
        <v>1997</v>
      </c>
      <c r="E24" s="16">
        <v>85</v>
      </c>
      <c r="F24" s="15">
        <v>304</v>
      </c>
    </row>
    <row r="25" spans="1:6" ht="12.75">
      <c r="A25" s="7" t="s">
        <v>51</v>
      </c>
      <c r="B25" s="8" t="s">
        <v>13</v>
      </c>
      <c r="C25" s="14" t="s">
        <v>14</v>
      </c>
      <c r="D25" s="15">
        <v>1990</v>
      </c>
      <c r="E25" s="16">
        <v>64</v>
      </c>
      <c r="F25" s="15">
        <v>303</v>
      </c>
    </row>
    <row r="26" spans="1:6" ht="12.75">
      <c r="A26" s="7" t="s">
        <v>52</v>
      </c>
      <c r="B26" s="8" t="s">
        <v>53</v>
      </c>
      <c r="C26" s="14" t="s">
        <v>26</v>
      </c>
      <c r="D26" s="15">
        <v>1995</v>
      </c>
      <c r="E26" s="16">
        <v>105</v>
      </c>
      <c r="F26" s="15">
        <v>300</v>
      </c>
    </row>
    <row r="27" spans="1:6" ht="12.75">
      <c r="A27" s="7" t="s">
        <v>54</v>
      </c>
      <c r="B27" s="8" t="s">
        <v>55</v>
      </c>
      <c r="C27" s="14" t="s">
        <v>56</v>
      </c>
      <c r="D27" s="15">
        <v>1997</v>
      </c>
      <c r="E27" s="16">
        <v>63</v>
      </c>
      <c r="F27" s="15">
        <v>299</v>
      </c>
    </row>
    <row r="28" spans="1:6" ht="12.75">
      <c r="A28" s="7" t="s">
        <v>57</v>
      </c>
      <c r="B28" s="8" t="s">
        <v>58</v>
      </c>
      <c r="C28" s="14" t="s">
        <v>59</v>
      </c>
      <c r="D28" s="15">
        <v>1975</v>
      </c>
      <c r="E28" s="16">
        <v>72</v>
      </c>
      <c r="F28" s="15">
        <v>298</v>
      </c>
    </row>
    <row r="29" spans="1:6" ht="12.75">
      <c r="A29" s="7" t="s">
        <v>60</v>
      </c>
      <c r="B29" s="8" t="s">
        <v>61</v>
      </c>
      <c r="C29" s="14" t="s">
        <v>62</v>
      </c>
      <c r="D29" s="15">
        <v>2001</v>
      </c>
      <c r="E29" s="16">
        <v>72</v>
      </c>
      <c r="F29" s="15">
        <v>296</v>
      </c>
    </row>
    <row r="30" spans="1:6" ht="12.75">
      <c r="A30" s="7" t="s">
        <v>63</v>
      </c>
      <c r="B30" s="8" t="s">
        <v>47</v>
      </c>
      <c r="C30" s="14" t="s">
        <v>14</v>
      </c>
      <c r="D30" s="15">
        <v>1983</v>
      </c>
      <c r="E30" s="16">
        <v>71</v>
      </c>
      <c r="F30" s="15">
        <v>296</v>
      </c>
    </row>
    <row r="31" spans="1:6" ht="12.75">
      <c r="A31" s="7" t="s">
        <v>64</v>
      </c>
      <c r="B31" s="8" t="s">
        <v>65</v>
      </c>
      <c r="C31" s="14" t="s">
        <v>66</v>
      </c>
      <c r="D31" s="15">
        <v>1993</v>
      </c>
      <c r="E31" s="16">
        <v>70</v>
      </c>
      <c r="F31" s="15">
        <v>296</v>
      </c>
    </row>
    <row r="32" spans="1:6" ht="12.75">
      <c r="A32" s="7" t="s">
        <v>67</v>
      </c>
      <c r="B32" s="8" t="s">
        <v>68</v>
      </c>
      <c r="C32" s="14" t="s">
        <v>14</v>
      </c>
      <c r="D32" s="15">
        <v>1984</v>
      </c>
      <c r="E32" s="16">
        <v>76</v>
      </c>
      <c r="F32" s="15">
        <v>295</v>
      </c>
    </row>
    <row r="33" spans="1:6" ht="12.75">
      <c r="A33" s="7" t="s">
        <v>69</v>
      </c>
      <c r="B33" s="8" t="s">
        <v>13</v>
      </c>
      <c r="C33" s="14" t="s">
        <v>14</v>
      </c>
      <c r="D33" s="15">
        <v>1990</v>
      </c>
      <c r="E33" s="16">
        <v>65</v>
      </c>
      <c r="F33" s="15">
        <v>293</v>
      </c>
    </row>
    <row r="34" spans="1:6" ht="12.75">
      <c r="A34" s="7" t="s">
        <v>70</v>
      </c>
      <c r="B34" s="8" t="s">
        <v>71</v>
      </c>
      <c r="C34" s="14" t="s">
        <v>17</v>
      </c>
      <c r="D34" s="15">
        <v>2000</v>
      </c>
      <c r="E34" s="16">
        <v>72</v>
      </c>
      <c r="F34" s="15">
        <v>292</v>
      </c>
    </row>
    <row r="35" spans="1:6" ht="12.75">
      <c r="A35" s="7" t="s">
        <v>72</v>
      </c>
      <c r="B35" s="8" t="s">
        <v>23</v>
      </c>
      <c r="C35" s="14" t="s">
        <v>17</v>
      </c>
      <c r="D35" s="15">
        <v>1932</v>
      </c>
      <c r="E35" s="16">
        <v>67</v>
      </c>
      <c r="F35" s="15">
        <v>290</v>
      </c>
    </row>
    <row r="36" spans="1:6" ht="12.75">
      <c r="A36" s="7" t="s">
        <v>73</v>
      </c>
      <c r="B36" s="8" t="s">
        <v>25</v>
      </c>
      <c r="C36" s="14" t="s">
        <v>26</v>
      </c>
      <c r="D36" s="15">
        <v>1999</v>
      </c>
      <c r="E36" s="16">
        <v>70</v>
      </c>
      <c r="F36" s="15">
        <v>290</v>
      </c>
    </row>
    <row r="37" spans="1:6" ht="12.75">
      <c r="A37" s="7" t="s">
        <v>74</v>
      </c>
      <c r="B37" s="8" t="s">
        <v>75</v>
      </c>
      <c r="C37" s="14" t="s">
        <v>14</v>
      </c>
      <c r="D37" s="15">
        <v>1991</v>
      </c>
      <c r="E37" s="16">
        <v>57</v>
      </c>
      <c r="F37" s="15">
        <v>290</v>
      </c>
    </row>
    <row r="38" spans="1:6" ht="12.75">
      <c r="A38" s="7" t="s">
        <v>76</v>
      </c>
      <c r="B38" s="8" t="s">
        <v>77</v>
      </c>
      <c r="C38" s="14" t="s">
        <v>14</v>
      </c>
      <c r="D38" s="15">
        <v>1987</v>
      </c>
      <c r="E38" s="16">
        <v>61</v>
      </c>
      <c r="F38" s="15">
        <v>288</v>
      </c>
    </row>
    <row r="39" spans="1:6" ht="12.75">
      <c r="A39" s="7" t="s">
        <v>78</v>
      </c>
      <c r="B39" s="8" t="s">
        <v>16</v>
      </c>
      <c r="C39" s="14" t="s">
        <v>17</v>
      </c>
      <c r="D39" s="15">
        <v>1999</v>
      </c>
      <c r="E39" s="16">
        <v>59</v>
      </c>
      <c r="F39" s="15">
        <v>285</v>
      </c>
    </row>
    <row r="40" spans="1:6" ht="12.75">
      <c r="A40" s="7" t="s">
        <v>79</v>
      </c>
      <c r="B40" s="8" t="s">
        <v>23</v>
      </c>
      <c r="C40" s="14" t="s">
        <v>14</v>
      </c>
      <c r="D40" s="15">
        <v>1930</v>
      </c>
      <c r="E40" s="16">
        <v>72</v>
      </c>
      <c r="F40" s="15">
        <v>283</v>
      </c>
    </row>
    <row r="41" spans="1:6" ht="12.75">
      <c r="A41" s="7" t="s">
        <v>80</v>
      </c>
      <c r="B41" s="8" t="s">
        <v>16</v>
      </c>
      <c r="C41" s="14" t="s">
        <v>17</v>
      </c>
      <c r="D41" s="15">
        <v>2001</v>
      </c>
      <c r="E41" s="16">
        <v>62</v>
      </c>
      <c r="F41" s="15">
        <v>281</v>
      </c>
    </row>
    <row r="42" spans="1:6" ht="12.75">
      <c r="A42" s="7" t="s">
        <v>39</v>
      </c>
      <c r="B42" s="8" t="s">
        <v>81</v>
      </c>
      <c r="C42" s="14" t="s">
        <v>14</v>
      </c>
      <c r="D42" s="15">
        <v>1985</v>
      </c>
      <c r="E42" s="16">
        <v>72</v>
      </c>
      <c r="F42" s="15">
        <v>281</v>
      </c>
    </row>
    <row r="43" spans="1:6" ht="12.75">
      <c r="A43" s="18"/>
      <c r="B43" s="19"/>
      <c r="C43" s="20" t="s">
        <v>82</v>
      </c>
      <c r="D43" s="21">
        <f>MAX(D3:D42)</f>
        <v>2001</v>
      </c>
      <c r="E43" s="21">
        <f>MAX(E3:E42)</f>
        <v>110</v>
      </c>
      <c r="F43" s="21">
        <f>MAX(F3:F42)</f>
        <v>452</v>
      </c>
    </row>
    <row r="44" spans="1:6" ht="12.75">
      <c r="A44" s="18"/>
      <c r="B44" s="19"/>
      <c r="C44" s="20" t="s">
        <v>83</v>
      </c>
      <c r="D44" s="21">
        <f>MIN(D3:D42)</f>
        <v>1930</v>
      </c>
      <c r="E44" s="21">
        <f>MIN(E3:E42)</f>
        <v>55</v>
      </c>
      <c r="F44" s="21">
        <f>MIN(F3:F42)</f>
        <v>281</v>
      </c>
    </row>
    <row r="45" spans="1:6" ht="12.75">
      <c r="A45" s="18"/>
      <c r="B45" s="19"/>
      <c r="C45" s="20" t="s">
        <v>84</v>
      </c>
      <c r="D45" s="20"/>
      <c r="E45" s="22">
        <f>AVERAGE(E3:E42)</f>
        <v>73.3</v>
      </c>
      <c r="F45" s="22">
        <f>AVERAGE(F3:F42)</f>
        <v>325.25</v>
      </c>
    </row>
    <row r="46" spans="1:6" ht="12.75">
      <c r="A46" s="18"/>
      <c r="B46" s="19"/>
      <c r="C46" s="23"/>
      <c r="D46" s="23"/>
      <c r="E46" s="24"/>
      <c r="F46" s="24"/>
    </row>
    <row r="47" spans="1:6" ht="12" customHeight="1">
      <c r="A47" s="18"/>
      <c r="B47" s="19"/>
      <c r="C47" s="20" t="s">
        <v>85</v>
      </c>
      <c r="D47" s="25"/>
      <c r="E47" s="12"/>
      <c r="F47" s="25"/>
    </row>
    <row r="48" spans="1:6" ht="12.75">
      <c r="A48" s="26" t="s">
        <v>86</v>
      </c>
      <c r="B48" s="27">
        <f>COUNTA(A3:A47)</f>
        <v>40</v>
      </c>
      <c r="C48" s="28"/>
      <c r="D48" s="25"/>
      <c r="E48" s="12"/>
      <c r="F48" s="25"/>
    </row>
    <row r="49" spans="1:4" ht="12.75">
      <c r="A49" s="7" t="s">
        <v>87</v>
      </c>
      <c r="B49" s="29">
        <f>COUNTIF(C$3:C$42,"USA")</f>
        <v>17</v>
      </c>
      <c r="C49" s="30">
        <f aca="true" t="shared" si="0" ref="C49:C55">B49/B$48</f>
        <v>0.425</v>
      </c>
      <c r="D49" s="18"/>
    </row>
    <row r="50" spans="1:3" ht="12.75">
      <c r="A50" s="7" t="s">
        <v>88</v>
      </c>
      <c r="B50" s="29">
        <f>COUNTIF(C$3:C$42,"canada")</f>
        <v>1</v>
      </c>
      <c r="C50" s="30">
        <f t="shared" si="0"/>
        <v>0.025</v>
      </c>
    </row>
    <row r="51" spans="1:3" ht="12.75">
      <c r="A51" s="7" t="s">
        <v>89</v>
      </c>
      <c r="B51" s="29">
        <f>COUNTIF(C$3:C$42,"cina")</f>
        <v>7</v>
      </c>
      <c r="C51" s="30">
        <f t="shared" si="0"/>
        <v>0.175</v>
      </c>
    </row>
    <row r="52" spans="1:3" ht="12.75">
      <c r="A52" s="7" t="s">
        <v>90</v>
      </c>
      <c r="B52" s="29">
        <f>COUNTIF(C$3:C$42,"Arabia Saudita")</f>
        <v>1</v>
      </c>
      <c r="C52" s="30">
        <f t="shared" si="0"/>
        <v>0.025</v>
      </c>
    </row>
    <row r="53" spans="1:3" ht="12.75">
      <c r="A53" s="7" t="s">
        <v>91</v>
      </c>
      <c r="B53" s="29">
        <f>B48-SUM(B49:B52)</f>
        <v>14</v>
      </c>
      <c r="C53" s="30">
        <f t="shared" si="0"/>
        <v>0.35</v>
      </c>
    </row>
    <row r="54" spans="1:3" ht="12.75">
      <c r="A54" s="31" t="s">
        <v>82</v>
      </c>
      <c r="B54" s="32">
        <f>MAX(B$49:B$53)</f>
        <v>17</v>
      </c>
      <c r="C54" s="30">
        <f t="shared" si="0"/>
        <v>0.425</v>
      </c>
    </row>
    <row r="55" spans="1:3" ht="12.75">
      <c r="A55" s="31" t="s">
        <v>83</v>
      </c>
      <c r="B55" s="32">
        <f>MIN(B$49:B$53)</f>
        <v>1</v>
      </c>
      <c r="C55" s="30">
        <f t="shared" si="0"/>
        <v>0.025</v>
      </c>
    </row>
    <row r="57" spans="1:2" ht="12.75">
      <c r="A57" s="33" t="s">
        <v>92</v>
      </c>
      <c r="B57" s="29">
        <f>COUNTIF(D$3:D$42,"&lt;=1970")</f>
        <v>5</v>
      </c>
    </row>
    <row r="58" spans="1:2" ht="12.75">
      <c r="A58" s="33" t="s">
        <v>304</v>
      </c>
      <c r="B58" s="29">
        <f>COUNTIF(D$3:D$42,"&lt;=1990")-B57</f>
        <v>13</v>
      </c>
    </row>
    <row r="59" spans="1:2" ht="12.75">
      <c r="A59" s="33" t="s">
        <v>305</v>
      </c>
      <c r="B59" s="29">
        <f>COUNTIF(D$3:D$42,"&lt;=2001")-B58-B57</f>
        <v>22</v>
      </c>
    </row>
    <row r="60" spans="1:2" ht="12.75">
      <c r="A60" s="34" t="s">
        <v>93</v>
      </c>
      <c r="B60" s="27">
        <f>SUM(B57:B59)</f>
        <v>40</v>
      </c>
    </row>
  </sheetData>
  <printOptions gridLines="1" headings="1" horizontalCentered="1" verticalCentered="1"/>
  <pageMargins left="0.45" right="0.28" top="0.34" bottom="0.35" header="0.2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0.8515625" style="0" bestFit="1" customWidth="1"/>
    <col min="3" max="3" width="10.7109375" style="0" bestFit="1" customWidth="1"/>
    <col min="4" max="4" width="9.7109375" style="0" bestFit="1" customWidth="1"/>
    <col min="5" max="5" width="9.8515625" style="0" customWidth="1"/>
    <col min="6" max="6" width="9.57421875" style="0" customWidth="1"/>
    <col min="7" max="7" width="9.421875" style="0" customWidth="1"/>
    <col min="8" max="8" width="7.28125" style="0" bestFit="1" customWidth="1"/>
    <col min="9" max="9" width="8.8515625" style="0" customWidth="1"/>
    <col min="10" max="10" width="7.00390625" style="0" bestFit="1" customWidth="1"/>
    <col min="11" max="11" width="9.140625" style="19" customWidth="1"/>
  </cols>
  <sheetData>
    <row r="1" spans="1:12" ht="12.75">
      <c r="A1" s="49" t="s">
        <v>189</v>
      </c>
      <c r="L1" s="4"/>
    </row>
    <row r="2" spans="1:11" s="58" customFormat="1" ht="12.75" thickBot="1">
      <c r="A2" s="50"/>
      <c r="B2" s="51"/>
      <c r="C2" s="52"/>
      <c r="D2" s="53"/>
      <c r="E2" s="53" t="s">
        <v>183</v>
      </c>
      <c r="F2" s="54"/>
      <c r="G2" s="53"/>
      <c r="H2" s="55"/>
      <c r="I2" s="56"/>
      <c r="J2" s="56"/>
      <c r="K2" s="57"/>
    </row>
    <row r="3" spans="2:11" s="59" customFormat="1" ht="11.25">
      <c r="B3" s="60" t="s">
        <v>167</v>
      </c>
      <c r="C3" s="61" t="s">
        <v>169</v>
      </c>
      <c r="D3" s="62" t="s">
        <v>168</v>
      </c>
      <c r="E3" s="60" t="s">
        <v>170</v>
      </c>
      <c r="F3" s="61" t="s">
        <v>171</v>
      </c>
      <c r="G3" s="62" t="s">
        <v>172</v>
      </c>
      <c r="H3" s="63" t="s">
        <v>166</v>
      </c>
      <c r="I3" s="64" t="s">
        <v>179</v>
      </c>
      <c r="J3" s="63" t="s">
        <v>166</v>
      </c>
      <c r="K3" s="64" t="s">
        <v>179</v>
      </c>
    </row>
    <row r="4" spans="2:11" s="59" customFormat="1" ht="28.5" customHeight="1">
      <c r="B4" s="65" t="s">
        <v>173</v>
      </c>
      <c r="C4" s="66" t="s">
        <v>173</v>
      </c>
      <c r="D4" s="67" t="s">
        <v>173</v>
      </c>
      <c r="E4" s="65" t="s">
        <v>173</v>
      </c>
      <c r="F4" s="66" t="s">
        <v>173</v>
      </c>
      <c r="G4" s="67" t="s">
        <v>173</v>
      </c>
      <c r="H4" s="68" t="s">
        <v>178</v>
      </c>
      <c r="I4" s="69" t="s">
        <v>178</v>
      </c>
      <c r="J4" s="70" t="s">
        <v>188</v>
      </c>
      <c r="K4" s="71" t="s">
        <v>188</v>
      </c>
    </row>
    <row r="5" spans="1:11" s="81" customFormat="1" ht="12.75">
      <c r="A5" s="72" t="s">
        <v>163</v>
      </c>
      <c r="B5" s="73">
        <v>881</v>
      </c>
      <c r="C5" s="74">
        <v>501</v>
      </c>
      <c r="D5" s="75">
        <v>981</v>
      </c>
      <c r="E5" s="76">
        <v>585</v>
      </c>
      <c r="F5" s="74">
        <v>1057</v>
      </c>
      <c r="G5" s="75">
        <v>2945</v>
      </c>
      <c r="H5" s="77">
        <f>SUM(B5:D5)</f>
        <v>2363</v>
      </c>
      <c r="I5" s="78">
        <f>SUM(E5:G5)</f>
        <v>4587</v>
      </c>
      <c r="J5" s="79">
        <f>H5/B$14</f>
        <v>0.13950056083594073</v>
      </c>
      <c r="K5" s="80">
        <f>I5/B$15</f>
        <v>0.32453657846328005</v>
      </c>
    </row>
    <row r="6" spans="1:11" s="81" customFormat="1" ht="12.75">
      <c r="A6" s="72" t="s">
        <v>164</v>
      </c>
      <c r="B6" s="73">
        <v>245</v>
      </c>
      <c r="C6" s="74">
        <v>472</v>
      </c>
      <c r="D6" s="75">
        <v>921</v>
      </c>
      <c r="E6" s="76">
        <v>46</v>
      </c>
      <c r="F6" s="74">
        <v>547</v>
      </c>
      <c r="G6" s="75">
        <v>61</v>
      </c>
      <c r="H6" s="77">
        <f aca="true" t="shared" si="0" ref="H6:H11">SUM(B6:D6)</f>
        <v>1638</v>
      </c>
      <c r="I6" s="78">
        <f aca="true" t="shared" si="1" ref="I6:I11">SUM(E6:G6)</f>
        <v>654</v>
      </c>
      <c r="J6" s="79">
        <f aca="true" t="shared" si="2" ref="J6:J11">H6/B$14</f>
        <v>0.09669992325402917</v>
      </c>
      <c r="K6" s="80">
        <f aca="true" t="shared" si="3" ref="K6:K11">I6/B$15</f>
        <v>0.0462714022923447</v>
      </c>
    </row>
    <row r="7" spans="1:11" s="81" customFormat="1" ht="12.75">
      <c r="A7" s="72" t="s">
        <v>165</v>
      </c>
      <c r="B7" s="73">
        <v>1923</v>
      </c>
      <c r="C7" s="74">
        <v>1158</v>
      </c>
      <c r="D7" s="75">
        <v>1201</v>
      </c>
      <c r="E7" s="76">
        <v>1436</v>
      </c>
      <c r="F7" s="74">
        <v>848</v>
      </c>
      <c r="G7" s="75">
        <v>1310</v>
      </c>
      <c r="H7" s="77">
        <f t="shared" si="0"/>
        <v>4282</v>
      </c>
      <c r="I7" s="78">
        <f t="shared" si="1"/>
        <v>3594</v>
      </c>
      <c r="J7" s="79">
        <f t="shared" si="2"/>
        <v>0.25278942086309697</v>
      </c>
      <c r="K7" s="80">
        <f t="shared" si="3"/>
        <v>0.25428045846894015</v>
      </c>
    </row>
    <row r="8" spans="1:11" s="81" customFormat="1" ht="12.75">
      <c r="A8" s="72" t="s">
        <v>174</v>
      </c>
      <c r="B8" s="73">
        <v>40</v>
      </c>
      <c r="C8" s="74">
        <v>35</v>
      </c>
      <c r="D8" s="75">
        <v>59</v>
      </c>
      <c r="E8" s="76">
        <v>52</v>
      </c>
      <c r="F8" s="74">
        <v>266</v>
      </c>
      <c r="G8" s="75">
        <v>156</v>
      </c>
      <c r="H8" s="77">
        <f t="shared" si="0"/>
        <v>134</v>
      </c>
      <c r="I8" s="78">
        <f t="shared" si="1"/>
        <v>474</v>
      </c>
      <c r="J8" s="79">
        <f t="shared" si="2"/>
        <v>0.007910738532380897</v>
      </c>
      <c r="K8" s="80">
        <f t="shared" si="3"/>
        <v>0.033536153955002125</v>
      </c>
    </row>
    <row r="9" spans="1:11" s="81" customFormat="1" ht="38.25">
      <c r="A9" s="82" t="s">
        <v>175</v>
      </c>
      <c r="B9" s="73">
        <v>198</v>
      </c>
      <c r="C9" s="74">
        <v>376</v>
      </c>
      <c r="D9" s="75">
        <v>911</v>
      </c>
      <c r="E9" s="76">
        <v>155</v>
      </c>
      <c r="F9" s="74">
        <v>16</v>
      </c>
      <c r="G9" s="75">
        <v>307</v>
      </c>
      <c r="H9" s="77">
        <f t="shared" si="0"/>
        <v>1485</v>
      </c>
      <c r="I9" s="78">
        <f t="shared" si="1"/>
        <v>478</v>
      </c>
      <c r="J9" s="79">
        <f t="shared" si="2"/>
        <v>0.08766751284019128</v>
      </c>
      <c r="K9" s="80">
        <f t="shared" si="3"/>
        <v>0.033819159473609736</v>
      </c>
    </row>
    <row r="10" spans="1:11" s="81" customFormat="1" ht="12.75">
      <c r="A10" s="72" t="s">
        <v>176</v>
      </c>
      <c r="B10" s="73">
        <v>1359</v>
      </c>
      <c r="C10" s="74">
        <v>738</v>
      </c>
      <c r="D10" s="75">
        <v>2169</v>
      </c>
      <c r="E10" s="76">
        <v>2422</v>
      </c>
      <c r="F10" s="74">
        <v>476</v>
      </c>
      <c r="G10" s="75">
        <v>1021</v>
      </c>
      <c r="H10" s="77">
        <f t="shared" si="0"/>
        <v>4266</v>
      </c>
      <c r="I10" s="78">
        <f t="shared" si="1"/>
        <v>3919</v>
      </c>
      <c r="J10" s="79">
        <f t="shared" si="2"/>
        <v>0.2518448550681858</v>
      </c>
      <c r="K10" s="80">
        <f t="shared" si="3"/>
        <v>0.2772746568558087</v>
      </c>
    </row>
    <row r="11" spans="1:11" s="81" customFormat="1" ht="26.25" thickBot="1">
      <c r="A11" s="83" t="s">
        <v>177</v>
      </c>
      <c r="B11" s="73">
        <v>1001</v>
      </c>
      <c r="C11" s="74">
        <v>1270</v>
      </c>
      <c r="D11" s="75">
        <v>500</v>
      </c>
      <c r="E11" s="76">
        <v>154</v>
      </c>
      <c r="F11" s="74">
        <v>1</v>
      </c>
      <c r="G11" s="75">
        <v>273</v>
      </c>
      <c r="H11" s="84">
        <f t="shared" si="0"/>
        <v>2771</v>
      </c>
      <c r="I11" s="85">
        <f t="shared" si="1"/>
        <v>428</v>
      </c>
      <c r="J11" s="79">
        <f t="shared" si="2"/>
        <v>0.1635869886061751</v>
      </c>
      <c r="K11" s="80">
        <f t="shared" si="3"/>
        <v>0.030281590491014573</v>
      </c>
    </row>
    <row r="12" spans="1:11" s="81" customFormat="1" ht="13.5" thickBot="1">
      <c r="A12" s="86" t="s">
        <v>182</v>
      </c>
      <c r="B12" s="87">
        <f aca="true" t="shared" si="4" ref="B12:G12">SUM(B5:B11)</f>
        <v>5647</v>
      </c>
      <c r="C12" s="88">
        <f t="shared" si="4"/>
        <v>4550</v>
      </c>
      <c r="D12" s="85">
        <f t="shared" si="4"/>
        <v>6742</v>
      </c>
      <c r="E12" s="87">
        <f t="shared" si="4"/>
        <v>4850</v>
      </c>
      <c r="F12" s="88">
        <f t="shared" si="4"/>
        <v>3211</v>
      </c>
      <c r="G12" s="85">
        <f t="shared" si="4"/>
        <v>6073</v>
      </c>
      <c r="H12" s="89"/>
      <c r="I12" s="90"/>
      <c r="J12" s="91"/>
      <c r="K12" s="92"/>
    </row>
    <row r="13" spans="1:11" s="94" customFormat="1" ht="12.75">
      <c r="A13" s="93"/>
      <c r="B13" s="90"/>
      <c r="C13" s="90"/>
      <c r="D13" s="90"/>
      <c r="E13" s="90"/>
      <c r="F13" s="90"/>
      <c r="G13" s="90"/>
      <c r="H13" s="89"/>
      <c r="I13" s="90"/>
      <c r="J13" s="91"/>
      <c r="K13" s="92"/>
    </row>
    <row r="14" spans="1:11" s="81" customFormat="1" ht="12.75">
      <c r="A14" s="95" t="s">
        <v>180</v>
      </c>
      <c r="B14" s="112">
        <f>SUM(B12:D12)</f>
        <v>16939</v>
      </c>
      <c r="C14" s="91"/>
      <c r="D14" s="91"/>
      <c r="E14" s="92"/>
      <c r="F14" s="91"/>
      <c r="G14" s="91"/>
      <c r="H14" s="91"/>
      <c r="I14" s="91"/>
      <c r="J14" s="91"/>
      <c r="K14" s="92"/>
    </row>
    <row r="15" spans="1:11" s="81" customFormat="1" ht="25.5">
      <c r="A15" s="96" t="s">
        <v>181</v>
      </c>
      <c r="B15" s="112">
        <f>SUM(E12:G12)</f>
        <v>14134</v>
      </c>
      <c r="C15" s="91"/>
      <c r="D15" s="91"/>
      <c r="E15" s="92"/>
      <c r="F15" s="91"/>
      <c r="G15" s="91"/>
      <c r="H15" s="91"/>
      <c r="I15" s="91"/>
      <c r="J15" s="91"/>
      <c r="K15" s="92"/>
    </row>
    <row r="16" spans="1:11" s="81" customFormat="1" ht="13.5" customHeight="1">
      <c r="A16" s="97"/>
      <c r="B16" s="91"/>
      <c r="C16" s="91"/>
      <c r="D16" s="91"/>
      <c r="E16" s="92"/>
      <c r="F16" s="91"/>
      <c r="G16" s="91"/>
      <c r="H16" s="91"/>
      <c r="I16" s="91"/>
      <c r="J16" s="91"/>
      <c r="K16" s="92"/>
    </row>
    <row r="17" spans="1:11" s="81" customFormat="1" ht="38.25">
      <c r="A17" s="98"/>
      <c r="B17" s="99" t="s">
        <v>184</v>
      </c>
      <c r="C17" s="99" t="s">
        <v>185</v>
      </c>
      <c r="D17" s="99" t="s">
        <v>186</v>
      </c>
      <c r="E17" s="99" t="s">
        <v>187</v>
      </c>
      <c r="F17" s="100"/>
      <c r="G17" s="101"/>
      <c r="H17" s="102"/>
      <c r="I17" s="91"/>
      <c r="J17" s="91"/>
      <c r="K17" s="92"/>
    </row>
    <row r="18" spans="1:11" s="81" customFormat="1" ht="12.75">
      <c r="A18" s="103" t="s">
        <v>163</v>
      </c>
      <c r="B18" s="104" t="str">
        <f>IF(H5&gt;I5,"Rai","Mediaset")</f>
        <v>Mediaset</v>
      </c>
      <c r="C18" s="104" t="str">
        <f>IF(B5&gt;E5,"Rai 1","Canale 5")</f>
        <v>Rai 1</v>
      </c>
      <c r="D18" s="104" t="str">
        <f>IF(B5&gt;D5,"Rai 1","Rai 3")</f>
        <v>Rai 3</v>
      </c>
      <c r="E18" s="104" t="str">
        <f>IF(E5&gt;G5,"Canale 5","Rete 4")</f>
        <v>Rete 4</v>
      </c>
      <c r="F18" s="92"/>
      <c r="G18" s="92"/>
      <c r="H18" s="92"/>
      <c r="I18" s="92"/>
      <c r="J18" s="92"/>
      <c r="K18" s="92"/>
    </row>
    <row r="19" spans="1:11" s="81" customFormat="1" ht="12.75">
      <c r="A19" s="72" t="s">
        <v>164</v>
      </c>
      <c r="B19" s="104" t="str">
        <f aca="true" t="shared" si="5" ref="B19:B24">IF(H6&gt;I6,"Rai","Mediaset")</f>
        <v>Rai</v>
      </c>
      <c r="C19" s="104" t="str">
        <f aca="true" t="shared" si="6" ref="C19:C24">IF(B6&gt;E6,"Rai 1","Canale 5")</f>
        <v>Rai 1</v>
      </c>
      <c r="D19" s="104" t="str">
        <f aca="true" t="shared" si="7" ref="D19:D24">IF(B6&gt;D6,"Rai 1","Rai 3")</f>
        <v>Rai 3</v>
      </c>
      <c r="E19" s="104" t="str">
        <f aca="true" t="shared" si="8" ref="E19:E24">IF(E6&gt;G6,"Canale 5","Rete 4")</f>
        <v>Rete 4</v>
      </c>
      <c r="F19" s="92"/>
      <c r="G19" s="92"/>
      <c r="H19" s="92"/>
      <c r="I19" s="92"/>
      <c r="J19" s="92"/>
      <c r="K19" s="92"/>
    </row>
    <row r="20" spans="1:11" s="81" customFormat="1" ht="12.75">
      <c r="A20" s="72" t="s">
        <v>165</v>
      </c>
      <c r="B20" s="104" t="str">
        <f t="shared" si="5"/>
        <v>Rai</v>
      </c>
      <c r="C20" s="104" t="str">
        <f t="shared" si="6"/>
        <v>Rai 1</v>
      </c>
      <c r="D20" s="104" t="str">
        <f t="shared" si="7"/>
        <v>Rai 1</v>
      </c>
      <c r="E20" s="104" t="str">
        <f t="shared" si="8"/>
        <v>Canale 5</v>
      </c>
      <c r="F20" s="92"/>
      <c r="G20" s="92"/>
      <c r="H20" s="92"/>
      <c r="I20" s="92"/>
      <c r="J20" s="92"/>
      <c r="K20" s="92"/>
    </row>
    <row r="21" spans="1:11" s="81" customFormat="1" ht="12.75">
      <c r="A21" s="72" t="s">
        <v>174</v>
      </c>
      <c r="B21" s="104" t="str">
        <f t="shared" si="5"/>
        <v>Mediaset</v>
      </c>
      <c r="C21" s="104" t="str">
        <f t="shared" si="6"/>
        <v>Canale 5</v>
      </c>
      <c r="D21" s="104" t="str">
        <f t="shared" si="7"/>
        <v>Rai 3</v>
      </c>
      <c r="E21" s="104" t="str">
        <f t="shared" si="8"/>
        <v>Rete 4</v>
      </c>
      <c r="F21" s="105"/>
      <c r="G21" s="105"/>
      <c r="H21" s="105"/>
      <c r="I21" s="105"/>
      <c r="J21" s="105"/>
      <c r="K21" s="92"/>
    </row>
    <row r="22" spans="1:10" ht="38.25">
      <c r="A22" s="82" t="s">
        <v>175</v>
      </c>
      <c r="B22" s="104" t="str">
        <f t="shared" si="5"/>
        <v>Rai</v>
      </c>
      <c r="C22" s="104" t="str">
        <f t="shared" si="6"/>
        <v>Rai 1</v>
      </c>
      <c r="D22" s="104" t="str">
        <f t="shared" si="7"/>
        <v>Rai 3</v>
      </c>
      <c r="E22" s="104" t="str">
        <f t="shared" si="8"/>
        <v>Rete 4</v>
      </c>
      <c r="F22" s="106"/>
      <c r="G22" s="106"/>
      <c r="H22" s="106"/>
      <c r="I22" s="106"/>
      <c r="J22" s="106"/>
    </row>
    <row r="23" spans="1:10" ht="12.75">
      <c r="A23" s="72" t="s">
        <v>176</v>
      </c>
      <c r="B23" s="104" t="str">
        <f t="shared" si="5"/>
        <v>Rai</v>
      </c>
      <c r="C23" s="104" t="str">
        <f t="shared" si="6"/>
        <v>Canale 5</v>
      </c>
      <c r="D23" s="104" t="str">
        <f t="shared" si="7"/>
        <v>Rai 3</v>
      </c>
      <c r="E23" s="104" t="str">
        <f t="shared" si="8"/>
        <v>Canale 5</v>
      </c>
      <c r="F23" s="106"/>
      <c r="G23" s="106"/>
      <c r="H23" s="106"/>
      <c r="I23" s="106"/>
      <c r="J23" s="106"/>
    </row>
    <row r="24" spans="1:10" ht="25.5">
      <c r="A24" s="83" t="s">
        <v>177</v>
      </c>
      <c r="B24" s="104" t="str">
        <f t="shared" si="5"/>
        <v>Rai</v>
      </c>
      <c r="C24" s="104" t="str">
        <f t="shared" si="6"/>
        <v>Rai 1</v>
      </c>
      <c r="D24" s="104" t="str">
        <f t="shared" si="7"/>
        <v>Rai 1</v>
      </c>
      <c r="E24" s="104" t="str">
        <f t="shared" si="8"/>
        <v>Rete 4</v>
      </c>
      <c r="F24" s="106"/>
      <c r="G24" s="106"/>
      <c r="H24" s="106"/>
      <c r="I24" s="106"/>
      <c r="J24" s="106"/>
    </row>
    <row r="25" spans="1:10" ht="12.75">
      <c r="A25" s="107"/>
      <c r="B25" s="108"/>
      <c r="C25" s="108"/>
      <c r="D25" s="108"/>
      <c r="E25" s="109"/>
      <c r="F25" s="110"/>
      <c r="G25" s="110"/>
      <c r="H25" s="110"/>
      <c r="I25" s="110"/>
      <c r="J25" s="110"/>
    </row>
    <row r="26" spans="1:10" ht="12.75">
      <c r="A26" s="111"/>
      <c r="B26" s="110"/>
      <c r="C26" s="110"/>
      <c r="D26" s="110"/>
      <c r="E26" s="110"/>
      <c r="F26" s="110"/>
      <c r="G26" s="110"/>
      <c r="H26" s="110"/>
      <c r="I26" s="110"/>
      <c r="J26" s="1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4" width="5.57421875" style="0" bestFit="1" customWidth="1"/>
    <col min="5" max="5" width="8.140625" style="0" customWidth="1"/>
    <col min="6" max="6" width="5.57421875" style="0" bestFit="1" customWidth="1"/>
    <col min="7" max="7" width="8.28125" style="0" bestFit="1" customWidth="1"/>
    <col min="8" max="8" width="8.28125" style="0" customWidth="1"/>
    <col min="9" max="9" width="7.421875" style="0" customWidth="1"/>
    <col min="10" max="11" width="5.57421875" style="0" bestFit="1" customWidth="1"/>
    <col min="12" max="12" width="7.57421875" style="0" customWidth="1"/>
    <col min="13" max="13" width="5.57421875" style="0" bestFit="1" customWidth="1"/>
    <col min="14" max="14" width="8.28125" style="0" bestFit="1" customWidth="1"/>
  </cols>
  <sheetData>
    <row r="1" ht="13.5" thickBot="1">
      <c r="A1" s="113" t="s">
        <v>149</v>
      </c>
    </row>
    <row r="2" spans="1:15" ht="13.5" thickBot="1">
      <c r="A2" s="319" t="s">
        <v>142</v>
      </c>
      <c r="B2" s="114"/>
      <c r="C2" s="115"/>
      <c r="D2" s="115"/>
      <c r="E2" s="116" t="s">
        <v>150</v>
      </c>
      <c r="F2" s="115"/>
      <c r="G2" s="116"/>
      <c r="H2" s="116"/>
      <c r="I2" s="117"/>
      <c r="J2" s="118"/>
      <c r="K2" s="117"/>
      <c r="L2" s="119" t="s">
        <v>150</v>
      </c>
      <c r="M2" s="118"/>
      <c r="N2" s="119"/>
      <c r="O2" s="120"/>
    </row>
    <row r="3" spans="1:15" ht="12.75">
      <c r="A3" s="320"/>
      <c r="B3" s="121" t="s">
        <v>143</v>
      </c>
      <c r="C3" s="122" t="s">
        <v>144</v>
      </c>
      <c r="D3" s="122" t="s">
        <v>145</v>
      </c>
      <c r="E3" s="122" t="s">
        <v>146</v>
      </c>
      <c r="F3" s="122" t="s">
        <v>147</v>
      </c>
      <c r="G3" s="123" t="s">
        <v>154</v>
      </c>
      <c r="H3" s="124" t="s">
        <v>139</v>
      </c>
      <c r="I3" s="125" t="s">
        <v>143</v>
      </c>
      <c r="J3" s="126" t="s">
        <v>144</v>
      </c>
      <c r="K3" s="126" t="s">
        <v>145</v>
      </c>
      <c r="L3" s="126" t="s">
        <v>146</v>
      </c>
      <c r="M3" s="127" t="s">
        <v>147</v>
      </c>
      <c r="N3" s="128" t="s">
        <v>154</v>
      </c>
      <c r="O3" s="129" t="s">
        <v>139</v>
      </c>
    </row>
    <row r="4" spans="1:15" ht="12.75">
      <c r="A4" s="130"/>
      <c r="B4" s="131"/>
      <c r="C4" s="132"/>
      <c r="D4" s="132"/>
      <c r="E4" s="133" t="s">
        <v>161</v>
      </c>
      <c r="F4" s="132"/>
      <c r="G4" s="132"/>
      <c r="H4" s="132"/>
      <c r="I4" s="134"/>
      <c r="J4" s="135"/>
      <c r="K4" s="135"/>
      <c r="L4" s="136" t="s">
        <v>160</v>
      </c>
      <c r="M4" s="135"/>
      <c r="N4" s="137"/>
      <c r="O4" s="138"/>
    </row>
    <row r="5" spans="1:15" ht="12.75">
      <c r="A5" s="139" t="s">
        <v>148</v>
      </c>
      <c r="B5" s="140">
        <v>8.6</v>
      </c>
      <c r="C5" s="141">
        <v>9.4</v>
      </c>
      <c r="D5" s="141">
        <v>12.1</v>
      </c>
      <c r="E5" s="141">
        <v>13.5</v>
      </c>
      <c r="F5" s="141">
        <v>12</v>
      </c>
      <c r="G5" s="141">
        <v>9.5</v>
      </c>
      <c r="H5" s="142">
        <f>AVERAGE(B5:G5)</f>
        <v>10.85</v>
      </c>
      <c r="I5" s="140">
        <v>12.5</v>
      </c>
      <c r="J5" s="141">
        <v>14.8</v>
      </c>
      <c r="K5" s="141">
        <v>17.6</v>
      </c>
      <c r="L5" s="141">
        <v>17.5</v>
      </c>
      <c r="M5" s="143">
        <v>15.1</v>
      </c>
      <c r="N5" s="141">
        <v>13.5</v>
      </c>
      <c r="O5" s="144">
        <f>AVERAGE(I5:N5)</f>
        <v>15.166666666666666</v>
      </c>
    </row>
    <row r="6" spans="1:15" ht="12.75">
      <c r="A6" s="139" t="s">
        <v>151</v>
      </c>
      <c r="B6" s="140">
        <v>9</v>
      </c>
      <c r="C6" s="141">
        <v>10.8</v>
      </c>
      <c r="D6" s="141">
        <v>12.6</v>
      </c>
      <c r="E6" s="141">
        <v>13.1</v>
      </c>
      <c r="F6" s="141">
        <v>12.1</v>
      </c>
      <c r="G6" s="141">
        <v>10.5</v>
      </c>
      <c r="H6" s="142">
        <f>AVERAGE(B6:G6)</f>
        <v>11.35</v>
      </c>
      <c r="I6" s="140">
        <v>11.9</v>
      </c>
      <c r="J6" s="141">
        <v>14.7</v>
      </c>
      <c r="K6" s="141">
        <v>17.2</v>
      </c>
      <c r="L6" s="141">
        <v>17.6</v>
      </c>
      <c r="M6" s="143">
        <v>16.8</v>
      </c>
      <c r="N6" s="141">
        <v>13.7</v>
      </c>
      <c r="O6" s="144">
        <f>AVERAGE(I6:N6)</f>
        <v>15.316666666666668</v>
      </c>
    </row>
    <row r="7" spans="1:15" ht="12.75">
      <c r="A7" s="145" t="s">
        <v>153</v>
      </c>
      <c r="B7" s="140">
        <v>9.5</v>
      </c>
      <c r="C7" s="141">
        <v>11.5</v>
      </c>
      <c r="D7" s="141">
        <v>12.6</v>
      </c>
      <c r="E7" s="141">
        <v>13.3</v>
      </c>
      <c r="F7" s="141">
        <v>13</v>
      </c>
      <c r="G7" s="141">
        <v>11.9</v>
      </c>
      <c r="H7" s="142">
        <f>AVERAGE(B7:G7)</f>
        <v>11.966666666666669</v>
      </c>
      <c r="I7" s="140">
        <v>12.1</v>
      </c>
      <c r="J7" s="141">
        <v>14.5</v>
      </c>
      <c r="K7" s="141">
        <v>17.9</v>
      </c>
      <c r="L7" s="141">
        <v>19.1</v>
      </c>
      <c r="M7" s="143">
        <v>17</v>
      </c>
      <c r="N7" s="141">
        <v>13.6</v>
      </c>
      <c r="O7" s="144">
        <f>AVERAGE(I7:N7)</f>
        <v>15.699999999999998</v>
      </c>
    </row>
    <row r="8" spans="1:15" ht="12.75">
      <c r="A8" s="145" t="s">
        <v>152</v>
      </c>
      <c r="B8" s="140">
        <v>9.9</v>
      </c>
      <c r="C8" s="141">
        <v>11.2</v>
      </c>
      <c r="D8" s="141">
        <v>12.6</v>
      </c>
      <c r="E8" s="141">
        <v>12.9</v>
      </c>
      <c r="F8" s="141">
        <v>12.5</v>
      </c>
      <c r="G8" s="141">
        <v>11.9</v>
      </c>
      <c r="H8" s="142">
        <f>AVERAGE(B8:G8)</f>
        <v>11.833333333333334</v>
      </c>
      <c r="I8" s="140">
        <v>14.3</v>
      </c>
      <c r="J8" s="141">
        <v>16.4</v>
      </c>
      <c r="K8" s="141">
        <v>18.3</v>
      </c>
      <c r="L8" s="141">
        <v>19.2</v>
      </c>
      <c r="M8" s="143">
        <v>18.1</v>
      </c>
      <c r="N8" s="141">
        <v>14.6</v>
      </c>
      <c r="O8" s="144">
        <f>AVERAGE(I8:N8)</f>
        <v>16.816666666666666</v>
      </c>
    </row>
    <row r="9" spans="1:15" ht="12.75">
      <c r="A9" s="146" t="s">
        <v>162</v>
      </c>
      <c r="B9" s="147">
        <f aca="true" t="shared" si="0" ref="B9:G9">AVERAGE(B6:B8)</f>
        <v>9.466666666666667</v>
      </c>
      <c r="C9" s="144">
        <f t="shared" si="0"/>
        <v>11.166666666666666</v>
      </c>
      <c r="D9" s="144">
        <f t="shared" si="0"/>
        <v>12.6</v>
      </c>
      <c r="E9" s="144">
        <f t="shared" si="0"/>
        <v>13.1</v>
      </c>
      <c r="F9" s="144">
        <f t="shared" si="0"/>
        <v>12.533333333333333</v>
      </c>
      <c r="G9" s="144">
        <f t="shared" si="0"/>
        <v>11.433333333333332</v>
      </c>
      <c r="H9" s="142">
        <f>AVERAGE(B9:G9)</f>
        <v>11.716666666666667</v>
      </c>
      <c r="I9" s="147">
        <f aca="true" t="shared" si="1" ref="I9:N9">AVERAGE(I6:I8)</f>
        <v>12.766666666666666</v>
      </c>
      <c r="J9" s="144">
        <f t="shared" si="1"/>
        <v>15.199999999999998</v>
      </c>
      <c r="K9" s="144">
        <f t="shared" si="1"/>
        <v>17.799999999999997</v>
      </c>
      <c r="L9" s="144">
        <f t="shared" si="1"/>
        <v>18.633333333333336</v>
      </c>
      <c r="M9" s="148">
        <f t="shared" si="1"/>
        <v>17.3</v>
      </c>
      <c r="N9" s="144">
        <f t="shared" si="1"/>
        <v>13.966666666666667</v>
      </c>
      <c r="O9" s="142">
        <f>AVERAGE(I9:N9)</f>
        <v>15.944444444444443</v>
      </c>
    </row>
    <row r="10" spans="1:14" ht="12.75">
      <c r="A10" s="146" t="s">
        <v>155</v>
      </c>
      <c r="B10" s="149">
        <f>MAX(B5:B8)</f>
        <v>9.9</v>
      </c>
      <c r="C10" s="149">
        <f aca="true" t="shared" si="2" ref="C10:N10">MAX(C5:C8)</f>
        <v>11.5</v>
      </c>
      <c r="D10" s="149">
        <f t="shared" si="2"/>
        <v>12.6</v>
      </c>
      <c r="E10" s="149">
        <f t="shared" si="2"/>
        <v>13.5</v>
      </c>
      <c r="F10" s="149">
        <f t="shared" si="2"/>
        <v>13</v>
      </c>
      <c r="G10" s="149">
        <f t="shared" si="2"/>
        <v>11.9</v>
      </c>
      <c r="H10" s="150"/>
      <c r="I10" s="149">
        <f t="shared" si="2"/>
        <v>14.3</v>
      </c>
      <c r="J10" s="149">
        <f t="shared" si="2"/>
        <v>16.4</v>
      </c>
      <c r="K10" s="149">
        <f t="shared" si="2"/>
        <v>18.3</v>
      </c>
      <c r="L10" s="149">
        <f t="shared" si="2"/>
        <v>19.2</v>
      </c>
      <c r="M10" s="151">
        <f t="shared" si="2"/>
        <v>18.1</v>
      </c>
      <c r="N10" s="152">
        <f t="shared" si="2"/>
        <v>14.6</v>
      </c>
    </row>
    <row r="11" spans="1:14" ht="12.7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55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2.75">
      <c r="A13" s="156" t="s">
        <v>156</v>
      </c>
      <c r="B13" s="157" t="str">
        <f aca="true" t="shared" si="3" ref="B13:N13">IF(B$5&gt;B9,"più","meno")</f>
        <v>meno</v>
      </c>
      <c r="C13" s="104" t="str">
        <f t="shared" si="3"/>
        <v>meno</v>
      </c>
      <c r="D13" s="104" t="str">
        <f t="shared" si="3"/>
        <v>meno</v>
      </c>
      <c r="E13" s="104" t="str">
        <f t="shared" si="3"/>
        <v>più</v>
      </c>
      <c r="F13" s="104" t="str">
        <f t="shared" si="3"/>
        <v>meno</v>
      </c>
      <c r="G13" s="104" t="str">
        <f t="shared" si="3"/>
        <v>meno</v>
      </c>
      <c r="H13" s="158"/>
      <c r="I13" s="157" t="str">
        <f t="shared" si="3"/>
        <v>meno</v>
      </c>
      <c r="J13" s="104" t="str">
        <f t="shared" si="3"/>
        <v>meno</v>
      </c>
      <c r="K13" s="104" t="str">
        <f t="shared" si="3"/>
        <v>meno</v>
      </c>
      <c r="L13" s="104" t="str">
        <f t="shared" si="3"/>
        <v>meno</v>
      </c>
      <c r="M13" s="104" t="str">
        <f t="shared" si="3"/>
        <v>meno</v>
      </c>
      <c r="N13" s="159" t="str">
        <f t="shared" si="3"/>
        <v>meno</v>
      </c>
    </row>
    <row r="14" spans="1:14" ht="12.75">
      <c r="A14" s="156" t="s">
        <v>157</v>
      </c>
      <c r="B14" s="157" t="str">
        <f aca="true" t="shared" si="4" ref="B14:N16">IF(B$5&gt;B6,"più","meno")</f>
        <v>meno</v>
      </c>
      <c r="C14" s="104" t="str">
        <f t="shared" si="4"/>
        <v>meno</v>
      </c>
      <c r="D14" s="104" t="str">
        <f t="shared" si="4"/>
        <v>meno</v>
      </c>
      <c r="E14" s="104" t="str">
        <f t="shared" si="4"/>
        <v>più</v>
      </c>
      <c r="F14" s="104" t="str">
        <f t="shared" si="4"/>
        <v>meno</v>
      </c>
      <c r="G14" s="104" t="str">
        <f t="shared" si="4"/>
        <v>meno</v>
      </c>
      <c r="H14" s="158"/>
      <c r="I14" s="157" t="str">
        <f t="shared" si="4"/>
        <v>più</v>
      </c>
      <c r="J14" s="104" t="str">
        <f t="shared" si="4"/>
        <v>più</v>
      </c>
      <c r="K14" s="104" t="str">
        <f t="shared" si="4"/>
        <v>più</v>
      </c>
      <c r="L14" s="104" t="str">
        <f t="shared" si="4"/>
        <v>meno</v>
      </c>
      <c r="M14" s="104" t="str">
        <f t="shared" si="4"/>
        <v>meno</v>
      </c>
      <c r="N14" s="159" t="str">
        <f t="shared" si="4"/>
        <v>meno</v>
      </c>
    </row>
    <row r="15" spans="1:14" ht="12.75">
      <c r="A15" s="156" t="s">
        <v>158</v>
      </c>
      <c r="B15" s="157" t="str">
        <f t="shared" si="4"/>
        <v>meno</v>
      </c>
      <c r="C15" s="104" t="str">
        <f t="shared" si="4"/>
        <v>meno</v>
      </c>
      <c r="D15" s="104" t="str">
        <f t="shared" si="4"/>
        <v>meno</v>
      </c>
      <c r="E15" s="104" t="str">
        <f t="shared" si="4"/>
        <v>più</v>
      </c>
      <c r="F15" s="104" t="str">
        <f t="shared" si="4"/>
        <v>meno</v>
      </c>
      <c r="G15" s="104" t="str">
        <f t="shared" si="4"/>
        <v>meno</v>
      </c>
      <c r="H15" s="158"/>
      <c r="I15" s="157" t="str">
        <f t="shared" si="4"/>
        <v>più</v>
      </c>
      <c r="J15" s="104" t="str">
        <f t="shared" si="4"/>
        <v>più</v>
      </c>
      <c r="K15" s="104" t="str">
        <f t="shared" si="4"/>
        <v>meno</v>
      </c>
      <c r="L15" s="104" t="str">
        <f t="shared" si="4"/>
        <v>meno</v>
      </c>
      <c r="M15" s="104" t="str">
        <f t="shared" si="4"/>
        <v>meno</v>
      </c>
      <c r="N15" s="159" t="str">
        <f t="shared" si="4"/>
        <v>meno</v>
      </c>
    </row>
    <row r="16" spans="1:14" ht="13.5" thickBot="1">
      <c r="A16" s="156" t="s">
        <v>159</v>
      </c>
      <c r="B16" s="160" t="str">
        <f t="shared" si="4"/>
        <v>meno</v>
      </c>
      <c r="C16" s="161" t="str">
        <f t="shared" si="4"/>
        <v>meno</v>
      </c>
      <c r="D16" s="161" t="str">
        <f t="shared" si="4"/>
        <v>meno</v>
      </c>
      <c r="E16" s="161" t="str">
        <f t="shared" si="4"/>
        <v>più</v>
      </c>
      <c r="F16" s="161" t="str">
        <f t="shared" si="4"/>
        <v>meno</v>
      </c>
      <c r="G16" s="161" t="str">
        <f t="shared" si="4"/>
        <v>meno</v>
      </c>
      <c r="H16" s="162"/>
      <c r="I16" s="160" t="str">
        <f t="shared" si="4"/>
        <v>meno</v>
      </c>
      <c r="J16" s="161" t="str">
        <f t="shared" si="4"/>
        <v>meno</v>
      </c>
      <c r="K16" s="161" t="str">
        <f t="shared" si="4"/>
        <v>meno</v>
      </c>
      <c r="L16" s="161" t="str">
        <f t="shared" si="4"/>
        <v>meno</v>
      </c>
      <c r="M16" s="161" t="str">
        <f t="shared" si="4"/>
        <v>meno</v>
      </c>
      <c r="N16" s="163" t="str">
        <f t="shared" si="4"/>
        <v>meno</v>
      </c>
    </row>
    <row r="17" spans="1:14" ht="12.75">
      <c r="A17" s="1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8" ht="12.75">
      <c r="A19" s="165"/>
      <c r="B19" s="166"/>
      <c r="C19" s="166"/>
      <c r="D19" s="166"/>
      <c r="E19" s="166"/>
      <c r="F19" s="166"/>
      <c r="G19" s="166"/>
      <c r="H19" s="166"/>
    </row>
    <row r="20" spans="2:9" ht="12.75">
      <c r="B20" s="167"/>
      <c r="C20" s="166"/>
      <c r="D20" s="166"/>
      <c r="E20" s="166"/>
      <c r="I20" s="167"/>
    </row>
  </sheetData>
  <mergeCells count="1">
    <mergeCell ref="A2:A3"/>
  </mergeCells>
  <printOptions/>
  <pageMargins left="0.48" right="0.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7" width="8.8515625" style="0" bestFit="1" customWidth="1"/>
    <col min="8" max="8" width="8.8515625" style="0" customWidth="1"/>
    <col min="9" max="9" width="9.140625" style="19" customWidth="1"/>
  </cols>
  <sheetData>
    <row r="1" spans="1:10" ht="12.75">
      <c r="A1" s="4" t="s">
        <v>229</v>
      </c>
      <c r="J1" s="4" t="s">
        <v>230</v>
      </c>
    </row>
    <row r="2" spans="1:9" s="58" customFormat="1" ht="12">
      <c r="A2" s="50"/>
      <c r="B2" s="51"/>
      <c r="C2" s="168"/>
      <c r="D2" s="169"/>
      <c r="E2" s="169" t="s">
        <v>228</v>
      </c>
      <c r="F2" s="170"/>
      <c r="G2" s="169"/>
      <c r="H2" s="171"/>
      <c r="I2" s="57"/>
    </row>
    <row r="3" spans="2:9" s="59" customFormat="1" ht="28.5" customHeight="1">
      <c r="B3" s="66" t="s">
        <v>227</v>
      </c>
      <c r="C3" s="66" t="s">
        <v>231</v>
      </c>
      <c r="D3" s="66" t="s">
        <v>232</v>
      </c>
      <c r="E3" s="66" t="s">
        <v>233</v>
      </c>
      <c r="F3" s="66" t="s">
        <v>234</v>
      </c>
      <c r="G3" s="66" t="s">
        <v>235</v>
      </c>
      <c r="H3" s="66" t="s">
        <v>236</v>
      </c>
      <c r="I3" s="172"/>
    </row>
    <row r="4" spans="1:9" s="81" customFormat="1" ht="12.75">
      <c r="A4" s="173" t="s">
        <v>208</v>
      </c>
      <c r="B4" s="174">
        <v>2.4</v>
      </c>
      <c r="C4" s="174">
        <v>27</v>
      </c>
      <c r="D4" s="174">
        <v>31.4</v>
      </c>
      <c r="E4" s="175">
        <v>21.8</v>
      </c>
      <c r="F4" s="174">
        <v>16.4</v>
      </c>
      <c r="G4" s="174">
        <v>2.7</v>
      </c>
      <c r="H4" s="174">
        <v>0.7</v>
      </c>
      <c r="I4" s="92"/>
    </row>
    <row r="5" spans="1:9" s="81" customFormat="1" ht="12.75">
      <c r="A5" s="173" t="s">
        <v>209</v>
      </c>
      <c r="B5" s="174">
        <v>2.2</v>
      </c>
      <c r="C5" s="174">
        <v>32.3</v>
      </c>
      <c r="D5" s="174">
        <v>30.3</v>
      </c>
      <c r="E5" s="175">
        <v>21</v>
      </c>
      <c r="F5" s="174">
        <v>13.8</v>
      </c>
      <c r="G5" s="174">
        <v>2.4</v>
      </c>
      <c r="H5" s="174">
        <v>0.3</v>
      </c>
      <c r="I5" s="92"/>
    </row>
    <row r="6" spans="1:9" s="81" customFormat="1" ht="12.75">
      <c r="A6" s="173" t="s">
        <v>190</v>
      </c>
      <c r="B6" s="174">
        <v>2.5</v>
      </c>
      <c r="C6" s="174">
        <v>25.3</v>
      </c>
      <c r="D6" s="174">
        <v>27.4</v>
      </c>
      <c r="E6" s="175">
        <v>22.7</v>
      </c>
      <c r="F6" s="174">
        <v>19.3</v>
      </c>
      <c r="G6" s="174">
        <v>4.3</v>
      </c>
      <c r="H6" s="174">
        <v>1</v>
      </c>
      <c r="I6" s="92"/>
    </row>
    <row r="7" spans="1:9" s="81" customFormat="1" ht="12.75">
      <c r="A7" s="173" t="s">
        <v>210</v>
      </c>
      <c r="B7" s="174">
        <v>2.6</v>
      </c>
      <c r="C7" s="174">
        <v>26</v>
      </c>
      <c r="D7" s="174">
        <v>24.7</v>
      </c>
      <c r="E7" s="175">
        <v>21.4</v>
      </c>
      <c r="F7" s="174">
        <v>20.5</v>
      </c>
      <c r="G7" s="174">
        <v>5.5</v>
      </c>
      <c r="H7" s="174">
        <v>1.9</v>
      </c>
      <c r="I7" s="92"/>
    </row>
    <row r="8" spans="1:9" s="81" customFormat="1" ht="12.75">
      <c r="A8" s="176" t="s">
        <v>211</v>
      </c>
      <c r="B8" s="174">
        <v>2.7</v>
      </c>
      <c r="C8" s="174">
        <v>21.7</v>
      </c>
      <c r="D8" s="174">
        <v>26.3</v>
      </c>
      <c r="E8" s="175">
        <v>23.3</v>
      </c>
      <c r="F8" s="174">
        <v>21.6</v>
      </c>
      <c r="G8" s="174">
        <v>5.2</v>
      </c>
      <c r="H8" s="174">
        <v>1.9</v>
      </c>
      <c r="I8" s="92"/>
    </row>
    <row r="9" spans="1:9" s="81" customFormat="1" ht="12.75">
      <c r="A9" s="173" t="s">
        <v>212</v>
      </c>
      <c r="B9" s="174">
        <v>2.4</v>
      </c>
      <c r="C9" s="174">
        <v>28.4</v>
      </c>
      <c r="D9" s="174">
        <v>29.1</v>
      </c>
      <c r="E9" s="175">
        <v>21.1</v>
      </c>
      <c r="F9" s="174">
        <v>17.1</v>
      </c>
      <c r="G9" s="174">
        <v>3.3</v>
      </c>
      <c r="H9" s="174">
        <v>1</v>
      </c>
      <c r="I9" s="92"/>
    </row>
    <row r="10" spans="1:9" s="81" customFormat="1" ht="12.75">
      <c r="A10" s="173" t="s">
        <v>213</v>
      </c>
      <c r="B10" s="174">
        <v>2.3</v>
      </c>
      <c r="C10" s="174">
        <v>32</v>
      </c>
      <c r="D10" s="174">
        <v>28.1</v>
      </c>
      <c r="E10" s="175">
        <v>22.4</v>
      </c>
      <c r="F10" s="174">
        <v>14.8</v>
      </c>
      <c r="G10" s="174">
        <v>2.3</v>
      </c>
      <c r="H10" s="174">
        <v>0.4</v>
      </c>
      <c r="I10" s="92"/>
    </row>
    <row r="11" spans="1:9" s="81" customFormat="1" ht="12.75">
      <c r="A11" s="173" t="s">
        <v>214</v>
      </c>
      <c r="B11" s="174">
        <v>2.5</v>
      </c>
      <c r="C11" s="174">
        <v>22.4</v>
      </c>
      <c r="D11" s="174">
        <v>31.9</v>
      </c>
      <c r="E11" s="175">
        <v>24.9</v>
      </c>
      <c r="F11" s="174">
        <v>16.7</v>
      </c>
      <c r="G11" s="174">
        <v>2.9</v>
      </c>
      <c r="H11" s="174">
        <v>1.2</v>
      </c>
      <c r="I11" s="92"/>
    </row>
    <row r="12" spans="1:9" s="81" customFormat="1" ht="12.75">
      <c r="A12" s="173" t="s">
        <v>215</v>
      </c>
      <c r="B12" s="174">
        <v>2.5</v>
      </c>
      <c r="C12" s="174">
        <v>22.5</v>
      </c>
      <c r="D12" s="174">
        <v>30.1</v>
      </c>
      <c r="E12" s="175">
        <v>25.2</v>
      </c>
      <c r="F12" s="174">
        <v>16.8</v>
      </c>
      <c r="G12" s="174">
        <v>4.3</v>
      </c>
      <c r="H12" s="174">
        <v>1.1</v>
      </c>
      <c r="I12" s="92"/>
    </row>
    <row r="13" spans="1:9" s="81" customFormat="1" ht="12.75">
      <c r="A13" s="173" t="s">
        <v>216</v>
      </c>
      <c r="B13" s="174">
        <v>2.6</v>
      </c>
      <c r="C13" s="174">
        <v>22.2</v>
      </c>
      <c r="D13" s="174">
        <v>28.7</v>
      </c>
      <c r="E13" s="175">
        <v>22.1</v>
      </c>
      <c r="F13" s="174">
        <v>21</v>
      </c>
      <c r="G13" s="174">
        <v>3.9</v>
      </c>
      <c r="H13" s="174">
        <v>2.1</v>
      </c>
      <c r="I13" s="92"/>
    </row>
    <row r="14" spans="1:9" s="81" customFormat="1" ht="12.75">
      <c r="A14" s="173" t="s">
        <v>217</v>
      </c>
      <c r="B14" s="174">
        <v>2.7</v>
      </c>
      <c r="C14" s="174">
        <v>21</v>
      </c>
      <c r="D14" s="174">
        <v>25.2</v>
      </c>
      <c r="E14" s="175">
        <v>24.4</v>
      </c>
      <c r="F14" s="174">
        <v>21.4</v>
      </c>
      <c r="G14" s="174">
        <v>5.4</v>
      </c>
      <c r="H14" s="174">
        <v>2.6</v>
      </c>
      <c r="I14" s="92"/>
    </row>
    <row r="15" spans="1:9" s="81" customFormat="1" ht="12.75">
      <c r="A15" s="173" t="s">
        <v>218</v>
      </c>
      <c r="B15" s="174">
        <v>2.6</v>
      </c>
      <c r="C15" s="174">
        <v>26.8</v>
      </c>
      <c r="D15" s="174">
        <v>23.5</v>
      </c>
      <c r="E15" s="175">
        <v>23.2</v>
      </c>
      <c r="F15" s="174">
        <v>20.6</v>
      </c>
      <c r="G15" s="174">
        <v>4.9</v>
      </c>
      <c r="H15" s="174">
        <v>1</v>
      </c>
      <c r="I15" s="92"/>
    </row>
    <row r="16" spans="1:9" s="81" customFormat="1" ht="12.75">
      <c r="A16" s="173" t="s">
        <v>219</v>
      </c>
      <c r="B16" s="174">
        <v>2.8</v>
      </c>
      <c r="C16" s="174">
        <v>19</v>
      </c>
      <c r="D16" s="174">
        <v>25.2</v>
      </c>
      <c r="E16" s="175">
        <v>23.2</v>
      </c>
      <c r="F16" s="174">
        <v>23</v>
      </c>
      <c r="G16" s="174">
        <v>8.3</v>
      </c>
      <c r="H16" s="174">
        <v>1.4</v>
      </c>
      <c r="I16" s="92"/>
    </row>
    <row r="17" spans="1:9" s="81" customFormat="1" ht="12.75">
      <c r="A17" s="173" t="s">
        <v>220</v>
      </c>
      <c r="B17" s="174">
        <v>2.7</v>
      </c>
      <c r="C17" s="174">
        <v>22.6</v>
      </c>
      <c r="D17" s="174">
        <v>26.2</v>
      </c>
      <c r="E17" s="175">
        <v>19.2</v>
      </c>
      <c r="F17" s="174">
        <v>22.5</v>
      </c>
      <c r="G17" s="174">
        <v>7.6</v>
      </c>
      <c r="H17" s="174">
        <v>1.9</v>
      </c>
      <c r="I17" s="92"/>
    </row>
    <row r="18" spans="1:9" s="81" customFormat="1" ht="12.75">
      <c r="A18" s="173" t="s">
        <v>221</v>
      </c>
      <c r="B18" s="174">
        <v>3.1</v>
      </c>
      <c r="C18" s="174">
        <v>14.7</v>
      </c>
      <c r="D18" s="174">
        <v>20.4</v>
      </c>
      <c r="E18" s="175">
        <v>21.8</v>
      </c>
      <c r="F18" s="174">
        <v>28</v>
      </c>
      <c r="G18" s="174">
        <v>11</v>
      </c>
      <c r="H18" s="174">
        <v>4.2</v>
      </c>
      <c r="I18" s="92"/>
    </row>
    <row r="19" spans="1:9" s="81" customFormat="1" ht="12.75">
      <c r="A19" s="173" t="s">
        <v>222</v>
      </c>
      <c r="B19" s="174">
        <v>3</v>
      </c>
      <c r="C19" s="174">
        <v>18.3</v>
      </c>
      <c r="D19" s="174">
        <v>22.3</v>
      </c>
      <c r="E19" s="175">
        <v>20.7</v>
      </c>
      <c r="F19" s="174">
        <v>25.9</v>
      </c>
      <c r="G19" s="174">
        <v>10.4</v>
      </c>
      <c r="H19" s="174">
        <v>2.5</v>
      </c>
      <c r="I19" s="92"/>
    </row>
    <row r="20" spans="1:9" s="81" customFormat="1" ht="12.75">
      <c r="A20" s="173" t="s">
        <v>223</v>
      </c>
      <c r="B20" s="174">
        <v>2.9</v>
      </c>
      <c r="C20" s="174">
        <v>17.9</v>
      </c>
      <c r="D20" s="174">
        <v>27.9</v>
      </c>
      <c r="E20" s="175">
        <v>17.3</v>
      </c>
      <c r="F20" s="174">
        <v>25.2</v>
      </c>
      <c r="G20" s="174">
        <v>9.9</v>
      </c>
      <c r="H20" s="174">
        <v>1.8</v>
      </c>
      <c r="I20" s="92"/>
    </row>
    <row r="21" spans="1:9" s="81" customFormat="1" ht="12.75">
      <c r="A21" s="173" t="s">
        <v>224</v>
      </c>
      <c r="B21" s="174">
        <v>2.9</v>
      </c>
      <c r="C21" s="174">
        <v>21</v>
      </c>
      <c r="D21" s="174">
        <v>22.6</v>
      </c>
      <c r="E21" s="175">
        <v>17.7</v>
      </c>
      <c r="F21" s="174">
        <v>25.2</v>
      </c>
      <c r="G21" s="174">
        <v>10</v>
      </c>
      <c r="H21" s="174">
        <v>3.5</v>
      </c>
      <c r="I21" s="92"/>
    </row>
    <row r="22" spans="1:9" s="81" customFormat="1" ht="12.75">
      <c r="A22" s="173" t="s">
        <v>225</v>
      </c>
      <c r="B22" s="174">
        <v>2.8</v>
      </c>
      <c r="C22" s="174">
        <v>20.6</v>
      </c>
      <c r="D22" s="174">
        <v>24.9</v>
      </c>
      <c r="E22" s="175">
        <v>19.2</v>
      </c>
      <c r="F22" s="174">
        <v>24.3</v>
      </c>
      <c r="G22" s="174">
        <v>9.1</v>
      </c>
      <c r="H22" s="174">
        <v>1.9</v>
      </c>
      <c r="I22" s="92"/>
    </row>
    <row r="23" spans="1:9" s="81" customFormat="1" ht="13.5" thickBot="1">
      <c r="A23" s="177" t="s">
        <v>226</v>
      </c>
      <c r="B23" s="178">
        <v>3</v>
      </c>
      <c r="C23" s="178">
        <v>17.7</v>
      </c>
      <c r="D23" s="178">
        <v>20.1</v>
      </c>
      <c r="E23" s="179">
        <v>24.3</v>
      </c>
      <c r="F23" s="178">
        <v>26.7</v>
      </c>
      <c r="G23" s="178">
        <v>8.1</v>
      </c>
      <c r="H23" s="178">
        <v>3.1</v>
      </c>
      <c r="I23" s="92"/>
    </row>
    <row r="24" spans="1:9" s="81" customFormat="1" ht="12.75">
      <c r="A24" s="180" t="s">
        <v>151</v>
      </c>
      <c r="B24" s="181">
        <v>2.5</v>
      </c>
      <c r="C24" s="181">
        <v>25.2</v>
      </c>
      <c r="D24" s="181">
        <v>28.7</v>
      </c>
      <c r="E24" s="182">
        <v>22.8</v>
      </c>
      <c r="F24" s="181">
        <v>18.3</v>
      </c>
      <c r="G24" s="181">
        <v>3.8</v>
      </c>
      <c r="H24" s="183">
        <v>1.1</v>
      </c>
      <c r="I24" s="92"/>
    </row>
    <row r="25" spans="1:9" s="81" customFormat="1" ht="12.75">
      <c r="A25" s="184" t="s">
        <v>153</v>
      </c>
      <c r="B25" s="174">
        <v>2.6</v>
      </c>
      <c r="C25" s="174">
        <v>24.3</v>
      </c>
      <c r="D25" s="174">
        <v>26.2</v>
      </c>
      <c r="E25" s="175">
        <v>23.9</v>
      </c>
      <c r="F25" s="174">
        <v>19.5</v>
      </c>
      <c r="G25" s="174">
        <v>4.7</v>
      </c>
      <c r="H25" s="185">
        <v>1.3</v>
      </c>
      <c r="I25" s="92"/>
    </row>
    <row r="26" spans="1:9" s="81" customFormat="1" ht="12.75">
      <c r="A26" s="184" t="s">
        <v>152</v>
      </c>
      <c r="B26" s="174">
        <v>3</v>
      </c>
      <c r="C26" s="174">
        <v>18.3</v>
      </c>
      <c r="D26" s="174">
        <v>22.7</v>
      </c>
      <c r="E26" s="175">
        <v>20.6</v>
      </c>
      <c r="F26" s="174">
        <v>25.8</v>
      </c>
      <c r="G26" s="174">
        <v>9.8</v>
      </c>
      <c r="H26" s="185">
        <v>2.8</v>
      </c>
      <c r="I26" s="92"/>
    </row>
    <row r="27" spans="1:9" s="81" customFormat="1" ht="13.5" thickBot="1">
      <c r="A27" s="186" t="s">
        <v>207</v>
      </c>
      <c r="B27" s="187">
        <v>2.7</v>
      </c>
      <c r="C27" s="187">
        <v>19.9</v>
      </c>
      <c r="D27" s="187">
        <v>23.8</v>
      </c>
      <c r="E27" s="188">
        <v>20.4</v>
      </c>
      <c r="F27" s="187">
        <v>24.9</v>
      </c>
      <c r="G27" s="187">
        <v>8.9</v>
      </c>
      <c r="H27" s="189">
        <v>2.2</v>
      </c>
      <c r="I27" s="92"/>
    </row>
    <row r="28" spans="1:8" ht="12.75">
      <c r="A28" s="190" t="s">
        <v>237</v>
      </c>
      <c r="B28" s="191">
        <f aca="true" t="shared" si="0" ref="B28:H28">MAX(B4:B23)</f>
        <v>3.1</v>
      </c>
      <c r="C28" s="192">
        <f t="shared" si="0"/>
        <v>32.3</v>
      </c>
      <c r="D28" s="192">
        <f t="shared" si="0"/>
        <v>31.9</v>
      </c>
      <c r="E28" s="192">
        <f t="shared" si="0"/>
        <v>25.2</v>
      </c>
      <c r="F28" s="192">
        <f t="shared" si="0"/>
        <v>28</v>
      </c>
      <c r="G28" s="192">
        <f t="shared" si="0"/>
        <v>11</v>
      </c>
      <c r="H28" s="193">
        <f t="shared" si="0"/>
        <v>4.2</v>
      </c>
    </row>
    <row r="29" spans="1:8" ht="12.75">
      <c r="A29" s="194" t="s">
        <v>238</v>
      </c>
      <c r="B29" s="195">
        <f aca="true" t="shared" si="1" ref="B29:H29">MIN(B4:B23)</f>
        <v>2.2</v>
      </c>
      <c r="C29" s="196">
        <f t="shared" si="1"/>
        <v>14.7</v>
      </c>
      <c r="D29" s="196">
        <f t="shared" si="1"/>
        <v>20.1</v>
      </c>
      <c r="E29" s="196">
        <f t="shared" si="1"/>
        <v>17.3</v>
      </c>
      <c r="F29" s="196">
        <f t="shared" si="1"/>
        <v>13.8</v>
      </c>
      <c r="G29" s="196">
        <f t="shared" si="1"/>
        <v>2.3</v>
      </c>
      <c r="H29" s="197">
        <f t="shared" si="1"/>
        <v>0.3</v>
      </c>
    </row>
    <row r="30" spans="1:8" ht="13.5" thickBot="1">
      <c r="A30" s="198" t="s">
        <v>239</v>
      </c>
      <c r="B30" s="199">
        <f aca="true" t="shared" si="2" ref="B30:H30">AVERAGE(B4:B23)</f>
        <v>2.6599999999999997</v>
      </c>
      <c r="C30" s="200">
        <f t="shared" si="2"/>
        <v>22.970000000000002</v>
      </c>
      <c r="D30" s="200">
        <f t="shared" si="2"/>
        <v>26.314999999999998</v>
      </c>
      <c r="E30" s="200">
        <f t="shared" si="2"/>
        <v>21.845</v>
      </c>
      <c r="F30" s="200">
        <f t="shared" si="2"/>
        <v>21.04</v>
      </c>
      <c r="G30" s="200">
        <f t="shared" si="2"/>
        <v>6.075</v>
      </c>
      <c r="H30" s="201">
        <f t="shared" si="2"/>
        <v>1.775</v>
      </c>
    </row>
    <row r="31" spans="1:8" ht="22.5">
      <c r="A31" s="202" t="s">
        <v>240</v>
      </c>
      <c r="B31" s="203">
        <f>COUNTIF($B$4:$B$23,"&gt;2,7")</f>
        <v>7</v>
      </c>
      <c r="C31" s="203">
        <f>COUNTIF($C$4:$C$23,"&gt;23")</f>
        <v>7</v>
      </c>
      <c r="D31" s="203">
        <f>COUNTIF($D$4:$D$23,"&gt;26,3")</f>
        <v>9</v>
      </c>
      <c r="E31" s="203">
        <f>COUNTIF($E$4:$E$23,"&gt;21,8")</f>
        <v>10</v>
      </c>
      <c r="F31" s="203">
        <f>COUNTIF($F$4:$F$23,"&gt;21")</f>
        <v>10</v>
      </c>
      <c r="G31" s="203">
        <f>COUNTIF($G$4:$G$23,"&gt;6,1")</f>
        <v>8</v>
      </c>
      <c r="H31" s="203">
        <f>COUNTIF($H$4:$H$23,"&gt;1,8")</f>
        <v>10</v>
      </c>
    </row>
    <row r="32" spans="1:8" ht="22.5">
      <c r="A32" s="204" t="s">
        <v>241</v>
      </c>
      <c r="B32" s="29">
        <f>COUNTIF($B$4:$B$23,"&lt;2,7")</f>
        <v>10</v>
      </c>
      <c r="C32" s="29">
        <f>COUNTIF($C$4:$C$23,"&lt;23")</f>
        <v>13</v>
      </c>
      <c r="D32" s="29">
        <f>COUNTIF($D$4:$D$23,"&lt;26,3")</f>
        <v>10</v>
      </c>
      <c r="E32" s="29">
        <f>COUNTIF($E$4:$E$23,"&lt;21,8")</f>
        <v>8</v>
      </c>
      <c r="F32" s="29">
        <f>COUNTIF($F$4:$F$23,"&lt;21")</f>
        <v>9</v>
      </c>
      <c r="G32" s="29">
        <f>COUNTIF($G$4:$G$23,"&lt;6,1")</f>
        <v>12</v>
      </c>
      <c r="H32" s="29">
        <f>COUNTIF($H$4:$H$23,"&lt;1,8")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4" width="6.8515625" style="0" bestFit="1" customWidth="1"/>
    <col min="5" max="5" width="8.140625" style="0" customWidth="1"/>
    <col min="6" max="6" width="8.57421875" style="0" bestFit="1" customWidth="1"/>
    <col min="7" max="7" width="8.28125" style="0" customWidth="1"/>
    <col min="8" max="8" width="7.421875" style="0" customWidth="1"/>
    <col min="9" max="9" width="6.8515625" style="0" bestFit="1" customWidth="1"/>
    <col min="10" max="10" width="7.00390625" style="0" bestFit="1" customWidth="1"/>
    <col min="11" max="11" width="7.57421875" style="0" customWidth="1"/>
    <col min="12" max="12" width="8.57421875" style="0" bestFit="1" customWidth="1"/>
    <col min="13" max="13" width="9.421875" style="0" bestFit="1" customWidth="1"/>
    <col min="14" max="14" width="12.8515625" style="0" customWidth="1"/>
  </cols>
  <sheetData>
    <row r="1" ht="13.5" thickBot="1">
      <c r="A1" s="205" t="s">
        <v>191</v>
      </c>
    </row>
    <row r="2" spans="1:14" ht="13.5" thickBot="1">
      <c r="A2" s="205"/>
      <c r="B2" s="206"/>
      <c r="C2" s="207"/>
      <c r="D2" s="207"/>
      <c r="E2" s="207"/>
      <c r="F2" s="208" t="s">
        <v>192</v>
      </c>
      <c r="G2" s="208"/>
      <c r="H2" s="207"/>
      <c r="I2" s="207"/>
      <c r="J2" s="207"/>
      <c r="K2" s="207"/>
      <c r="L2" s="207"/>
      <c r="M2" s="207"/>
      <c r="N2" s="209" t="s">
        <v>193</v>
      </c>
    </row>
    <row r="3" spans="1:14" ht="12.75">
      <c r="A3" s="321"/>
      <c r="B3" s="114"/>
      <c r="C3" s="115"/>
      <c r="D3" s="115"/>
      <c r="E3" s="116" t="s">
        <v>150</v>
      </c>
      <c r="F3" s="116"/>
      <c r="G3" s="210"/>
      <c r="H3" s="114"/>
      <c r="I3" s="115"/>
      <c r="J3" s="115"/>
      <c r="K3" s="116" t="s">
        <v>150</v>
      </c>
      <c r="L3" s="116"/>
      <c r="M3" s="211"/>
      <c r="N3" s="212" t="s">
        <v>194</v>
      </c>
    </row>
    <row r="4" spans="1:14" ht="12.75">
      <c r="A4" s="322"/>
      <c r="B4" s="125" t="s">
        <v>195</v>
      </c>
      <c r="C4" s="126" t="s">
        <v>196</v>
      </c>
      <c r="D4" s="126" t="s">
        <v>197</v>
      </c>
      <c r="E4" s="126" t="s">
        <v>198</v>
      </c>
      <c r="F4" s="128" t="s">
        <v>154</v>
      </c>
      <c r="G4" s="213" t="s">
        <v>139</v>
      </c>
      <c r="H4" s="214" t="s">
        <v>195</v>
      </c>
      <c r="I4" s="215" t="s">
        <v>196</v>
      </c>
      <c r="J4" s="215" t="s">
        <v>197</v>
      </c>
      <c r="K4" s="215" t="s">
        <v>198</v>
      </c>
      <c r="L4" s="216" t="s">
        <v>154</v>
      </c>
      <c r="M4" s="217" t="s">
        <v>139</v>
      </c>
      <c r="N4" s="218" t="s">
        <v>199</v>
      </c>
    </row>
    <row r="5" spans="1:14" ht="12.75">
      <c r="A5" s="219"/>
      <c r="B5" s="131"/>
      <c r="C5" s="132"/>
      <c r="D5" s="132"/>
      <c r="E5" s="133" t="s">
        <v>161</v>
      </c>
      <c r="F5" s="132"/>
      <c r="G5" s="220"/>
      <c r="H5" s="221"/>
      <c r="I5" s="135"/>
      <c r="J5" s="135"/>
      <c r="K5" s="136" t="s">
        <v>160</v>
      </c>
      <c r="L5" s="135"/>
      <c r="M5" s="222"/>
      <c r="N5" s="223"/>
    </row>
    <row r="6" spans="1:15" ht="12.75">
      <c r="A6" s="219"/>
      <c r="B6" s="131"/>
      <c r="C6" s="132"/>
      <c r="D6" s="132"/>
      <c r="E6" s="132" t="s">
        <v>200</v>
      </c>
      <c r="F6" s="132"/>
      <c r="G6" s="220"/>
      <c r="H6" s="221"/>
      <c r="I6" s="135"/>
      <c r="J6" s="135"/>
      <c r="K6" s="132" t="s">
        <v>200</v>
      </c>
      <c r="L6" s="132"/>
      <c r="M6" s="220"/>
      <c r="N6" s="224"/>
      <c r="O6" s="13"/>
    </row>
    <row r="7" spans="1:14" ht="12.75">
      <c r="A7" s="225" t="s">
        <v>151</v>
      </c>
      <c r="B7" s="140">
        <v>44.9</v>
      </c>
      <c r="C7" s="141">
        <v>46.9</v>
      </c>
      <c r="D7" s="141">
        <v>38</v>
      </c>
      <c r="E7" s="141">
        <v>26.6</v>
      </c>
      <c r="F7" s="141">
        <v>11.6</v>
      </c>
      <c r="G7" s="226">
        <f>AVERAGE(B7:F7)</f>
        <v>33.6</v>
      </c>
      <c r="H7" s="227">
        <v>72.8</v>
      </c>
      <c r="I7" s="228">
        <v>76.7</v>
      </c>
      <c r="J7" s="228">
        <v>65.5</v>
      </c>
      <c r="K7" s="141">
        <v>54.1</v>
      </c>
      <c r="L7" s="141">
        <v>31.7</v>
      </c>
      <c r="M7" s="229">
        <f>AVERAGE(H7:L7)</f>
        <v>60.160000000000004</v>
      </c>
      <c r="N7" s="230">
        <f>(M7-G7)/G7</f>
        <v>0.7904761904761906</v>
      </c>
    </row>
    <row r="8" spans="1:14" ht="12.75">
      <c r="A8" s="231" t="s">
        <v>153</v>
      </c>
      <c r="B8" s="140">
        <v>48.2</v>
      </c>
      <c r="C8" s="141">
        <v>46</v>
      </c>
      <c r="D8" s="141">
        <v>38.7</v>
      </c>
      <c r="E8" s="141">
        <v>27.9</v>
      </c>
      <c r="F8" s="141">
        <v>15.1</v>
      </c>
      <c r="G8" s="226">
        <f>AVERAGE(B8:F8)</f>
        <v>35.18</v>
      </c>
      <c r="H8" s="140">
        <v>67.6</v>
      </c>
      <c r="I8" s="141">
        <v>71.1</v>
      </c>
      <c r="J8" s="141">
        <v>60.6</v>
      </c>
      <c r="K8" s="141">
        <v>56.9</v>
      </c>
      <c r="L8" s="141">
        <v>38.6</v>
      </c>
      <c r="M8" s="229">
        <f>AVERAGE(H8:L8)</f>
        <v>58.96</v>
      </c>
      <c r="N8" s="232">
        <f>(M8-G8)/G8</f>
        <v>0.6759522455940876</v>
      </c>
    </row>
    <row r="9" spans="1:14" ht="12.75">
      <c r="A9" s="231" t="s">
        <v>152</v>
      </c>
      <c r="B9" s="140">
        <v>44.6</v>
      </c>
      <c r="C9" s="141">
        <v>44.3</v>
      </c>
      <c r="D9" s="141">
        <v>37.6</v>
      </c>
      <c r="E9" s="141">
        <v>26.3</v>
      </c>
      <c r="F9" s="141">
        <v>12.7</v>
      </c>
      <c r="G9" s="226">
        <f>AVERAGE(B9:F9)</f>
        <v>33.1</v>
      </c>
      <c r="H9" s="140">
        <v>70.2</v>
      </c>
      <c r="I9" s="141">
        <v>75.2</v>
      </c>
      <c r="J9" s="141">
        <v>71.8</v>
      </c>
      <c r="K9" s="141">
        <v>63.2</v>
      </c>
      <c r="L9" s="141">
        <v>36.2</v>
      </c>
      <c r="M9" s="229">
        <f>AVERAGE(H9:L9)</f>
        <v>63.31999999999999</v>
      </c>
      <c r="N9" s="232">
        <f>(M9-G9)/G9</f>
        <v>0.9129909365558909</v>
      </c>
    </row>
    <row r="10" spans="1:14" ht="13.5" thickBot="1">
      <c r="A10" s="233" t="s">
        <v>201</v>
      </c>
      <c r="B10" s="234">
        <f>AVERAGE(B7:B9)</f>
        <v>45.9</v>
      </c>
      <c r="C10" s="235">
        <f>AVERAGE(C7:C9)</f>
        <v>45.73333333333333</v>
      </c>
      <c r="D10" s="235">
        <f>AVERAGE(D7:D9)</f>
        <v>38.1</v>
      </c>
      <c r="E10" s="235">
        <f>AVERAGE(E7:E9)</f>
        <v>26.933333333333334</v>
      </c>
      <c r="F10" s="235">
        <f>AVERAGE(F7:F9)</f>
        <v>13.133333333333333</v>
      </c>
      <c r="G10" s="236">
        <f>AVERAGE(B10:F10)</f>
        <v>33.959999999999994</v>
      </c>
      <c r="H10" s="234">
        <f>AVERAGE(H7:H9)</f>
        <v>70.19999999999999</v>
      </c>
      <c r="I10" s="235">
        <f>AVERAGE(I7:I9)</f>
        <v>74.33333333333333</v>
      </c>
      <c r="J10" s="235">
        <f>AVERAGE(J7:J9)</f>
        <v>65.96666666666665</v>
      </c>
      <c r="K10" s="237">
        <f>AVERAGE(K7:K9)</f>
        <v>58.06666666666666</v>
      </c>
      <c r="L10" s="237">
        <f>AVERAGE(L7:L9)</f>
        <v>35.5</v>
      </c>
      <c r="M10" s="238">
        <f>AVERAGE(H10:L10)</f>
        <v>60.81333333333332</v>
      </c>
      <c r="N10" s="232">
        <f>(M10-G10)/G10</f>
        <v>0.790734197094621</v>
      </c>
    </row>
    <row r="11" spans="1:13" ht="13.5" thickBot="1">
      <c r="A11" s="3"/>
      <c r="B11" s="207"/>
      <c r="C11" s="207"/>
      <c r="D11" s="207"/>
      <c r="E11" s="207"/>
      <c r="F11" s="208" t="s">
        <v>202</v>
      </c>
      <c r="G11" s="208"/>
      <c r="H11" s="207"/>
      <c r="I11" s="207"/>
      <c r="J11" s="207"/>
      <c r="K11" s="207"/>
      <c r="L11" s="207"/>
      <c r="M11" s="120"/>
    </row>
    <row r="12" spans="1:13" ht="12.75">
      <c r="A12" s="3"/>
      <c r="B12" s="239" t="s">
        <v>195</v>
      </c>
      <c r="C12" s="240" t="s">
        <v>196</v>
      </c>
      <c r="D12" s="240" t="s">
        <v>197</v>
      </c>
      <c r="E12" s="240" t="s">
        <v>198</v>
      </c>
      <c r="F12" s="129" t="s">
        <v>154</v>
      </c>
      <c r="G12" s="241"/>
      <c r="H12" s="214" t="s">
        <v>195</v>
      </c>
      <c r="I12" s="215" t="s">
        <v>196</v>
      </c>
      <c r="J12" s="215" t="s">
        <v>197</v>
      </c>
      <c r="K12" s="215" t="s">
        <v>198</v>
      </c>
      <c r="L12" s="216" t="s">
        <v>154</v>
      </c>
      <c r="M12" s="217"/>
    </row>
    <row r="13" spans="1:13" ht="12.75">
      <c r="A13" s="3"/>
      <c r="B13" s="131"/>
      <c r="C13" s="132"/>
      <c r="D13" s="132"/>
      <c r="E13" s="133" t="s">
        <v>161</v>
      </c>
      <c r="F13" s="132"/>
      <c r="G13" s="220"/>
      <c r="H13" s="221"/>
      <c r="I13" s="135"/>
      <c r="J13" s="135"/>
      <c r="K13" s="136" t="s">
        <v>160</v>
      </c>
      <c r="L13" s="135"/>
      <c r="M13" s="222"/>
    </row>
    <row r="14" spans="1:13" ht="12.75">
      <c r="A14" s="3"/>
      <c r="B14" s="131"/>
      <c r="C14" s="132"/>
      <c r="D14" s="132"/>
      <c r="E14" s="132" t="s">
        <v>200</v>
      </c>
      <c r="F14" s="132"/>
      <c r="G14" s="242" t="s">
        <v>139</v>
      </c>
      <c r="H14" s="221"/>
      <c r="I14" s="135"/>
      <c r="J14" s="135"/>
      <c r="K14" s="132" t="s">
        <v>200</v>
      </c>
      <c r="L14" s="132"/>
      <c r="M14" s="242" t="s">
        <v>139</v>
      </c>
    </row>
    <row r="15" spans="1:14" ht="12.75">
      <c r="A15" s="225" t="s">
        <v>151</v>
      </c>
      <c r="B15" s="140">
        <v>38.6</v>
      </c>
      <c r="C15" s="141">
        <v>50.7</v>
      </c>
      <c r="D15" s="141">
        <v>57.9</v>
      </c>
      <c r="E15" s="141">
        <v>54.3</v>
      </c>
      <c r="F15" s="141">
        <v>53.1</v>
      </c>
      <c r="G15" s="226">
        <f>AVERAGE(B15:F15)</f>
        <v>50.92</v>
      </c>
      <c r="H15" s="227">
        <v>59.4</v>
      </c>
      <c r="I15" s="228">
        <v>78.4</v>
      </c>
      <c r="J15" s="228">
        <v>81.3</v>
      </c>
      <c r="K15" s="141">
        <v>82</v>
      </c>
      <c r="L15" s="141">
        <v>77.8</v>
      </c>
      <c r="M15" s="229">
        <f>AVERAGE(H15:L15)</f>
        <v>75.78</v>
      </c>
      <c r="N15" s="243">
        <f>(M15-G15)/G15</f>
        <v>0.48821681068342493</v>
      </c>
    </row>
    <row r="16" spans="1:14" ht="12.75">
      <c r="A16" s="231" t="s">
        <v>153</v>
      </c>
      <c r="B16" s="140">
        <v>41.3</v>
      </c>
      <c r="C16" s="141">
        <v>51.3</v>
      </c>
      <c r="D16" s="141">
        <v>56.1</v>
      </c>
      <c r="E16" s="141">
        <v>51.8</v>
      </c>
      <c r="F16" s="141">
        <v>49.2</v>
      </c>
      <c r="G16" s="226">
        <f>AVERAGE(B16:F16)</f>
        <v>49.94</v>
      </c>
      <c r="H16" s="140">
        <v>58</v>
      </c>
      <c r="I16" s="141">
        <v>77.1</v>
      </c>
      <c r="J16" s="141">
        <v>77.2</v>
      </c>
      <c r="K16" s="141">
        <v>83.3</v>
      </c>
      <c r="L16" s="141">
        <v>80.3</v>
      </c>
      <c r="M16" s="229">
        <f>AVERAGE(H16:L16)</f>
        <v>75.18</v>
      </c>
      <c r="N16" s="243">
        <f>(M16-G16)/G16</f>
        <v>0.5054064877853426</v>
      </c>
    </row>
    <row r="17" spans="1:14" ht="12.75">
      <c r="A17" s="244" t="s">
        <v>152</v>
      </c>
      <c r="B17" s="140">
        <v>30.7</v>
      </c>
      <c r="C17" s="141">
        <v>40.7</v>
      </c>
      <c r="D17" s="141">
        <v>47.4</v>
      </c>
      <c r="E17" s="141">
        <v>43.3</v>
      </c>
      <c r="F17" s="141">
        <v>33.7</v>
      </c>
      <c r="G17" s="226">
        <f>AVERAGE(B17:F17)</f>
        <v>39.160000000000004</v>
      </c>
      <c r="H17" s="140">
        <v>52.2</v>
      </c>
      <c r="I17" s="141">
        <v>75.4</v>
      </c>
      <c r="J17" s="141">
        <v>81</v>
      </c>
      <c r="K17" s="141">
        <v>80.9</v>
      </c>
      <c r="L17" s="141">
        <v>69.2</v>
      </c>
      <c r="M17" s="229">
        <f>AVERAGE(H17:L17)</f>
        <v>71.74</v>
      </c>
      <c r="N17" s="243">
        <f>(M17-G17)/G17</f>
        <v>0.8319713993871294</v>
      </c>
    </row>
    <row r="18" spans="1:14" ht="13.5" thickBot="1">
      <c r="A18" s="233" t="s">
        <v>201</v>
      </c>
      <c r="B18" s="234">
        <f>AVERAGE(B15:B17)</f>
        <v>36.86666666666667</v>
      </c>
      <c r="C18" s="235">
        <f>AVERAGE(C15:C17)</f>
        <v>47.56666666666666</v>
      </c>
      <c r="D18" s="235">
        <f>AVERAGE(D15:D17)</f>
        <v>53.800000000000004</v>
      </c>
      <c r="E18" s="235">
        <f>AVERAGE(E15:E17)</f>
        <v>49.79999999999999</v>
      </c>
      <c r="F18" s="235">
        <f>AVERAGE(F15:F17)</f>
        <v>45.333333333333336</v>
      </c>
      <c r="G18" s="236">
        <f>AVERAGE(B18:F18)</f>
        <v>46.67333333333333</v>
      </c>
      <c r="H18" s="234">
        <f>AVERAGE(H15:H17)</f>
        <v>56.53333333333334</v>
      </c>
      <c r="I18" s="235">
        <f>AVERAGE(I15:I17)</f>
        <v>76.96666666666667</v>
      </c>
      <c r="J18" s="235">
        <f>AVERAGE(J15:J17)</f>
        <v>79.83333333333333</v>
      </c>
      <c r="K18" s="235">
        <f>AVERAGE(K15:K17)</f>
        <v>82.06666666666668</v>
      </c>
      <c r="L18" s="235">
        <f>AVERAGE(L15:L17)</f>
        <v>75.76666666666667</v>
      </c>
      <c r="M18" s="236">
        <f>AVERAGE(H18:L18)</f>
        <v>74.23333333333332</v>
      </c>
      <c r="N18" s="243">
        <f>(M18-G18)/G18</f>
        <v>0.5904870732752462</v>
      </c>
    </row>
    <row r="19" spans="1:12" s="13" customFormat="1" ht="6" customHeight="1">
      <c r="A19" s="3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3" ht="22.5">
      <c r="A20" s="245" t="s">
        <v>203</v>
      </c>
      <c r="B20" s="104" t="str">
        <f aca="true" t="shared" si="0" ref="B20:F23">IF(B7&gt;B15,"birra","vino")</f>
        <v>birra</v>
      </c>
      <c r="C20" s="104" t="str">
        <f t="shared" si="0"/>
        <v>vino</v>
      </c>
      <c r="D20" s="104" t="str">
        <f t="shared" si="0"/>
        <v>vino</v>
      </c>
      <c r="E20" s="104" t="str">
        <f t="shared" si="0"/>
        <v>vino</v>
      </c>
      <c r="F20" s="104" t="str">
        <f t="shared" si="0"/>
        <v>vino</v>
      </c>
      <c r="G20" s="175"/>
      <c r="H20" s="104" t="str">
        <f aca="true" t="shared" si="1" ref="H20:M23">IF(H7&gt;H15,"birra","vino")</f>
        <v>birra</v>
      </c>
      <c r="I20" s="104" t="str">
        <f t="shared" si="1"/>
        <v>vino</v>
      </c>
      <c r="J20" s="104" t="str">
        <f t="shared" si="1"/>
        <v>vino</v>
      </c>
      <c r="K20" s="104" t="str">
        <f t="shared" si="1"/>
        <v>vino</v>
      </c>
      <c r="L20" s="104" t="str">
        <f t="shared" si="1"/>
        <v>vino</v>
      </c>
      <c r="M20" s="104" t="str">
        <f t="shared" si="1"/>
        <v>vino</v>
      </c>
    </row>
    <row r="21" spans="1:13" ht="22.5">
      <c r="A21" s="246" t="s">
        <v>204</v>
      </c>
      <c r="B21" s="104" t="str">
        <f t="shared" si="0"/>
        <v>birra</v>
      </c>
      <c r="C21" s="104" t="str">
        <f t="shared" si="0"/>
        <v>vino</v>
      </c>
      <c r="D21" s="104" t="str">
        <f t="shared" si="0"/>
        <v>vino</v>
      </c>
      <c r="E21" s="104" t="str">
        <f t="shared" si="0"/>
        <v>vino</v>
      </c>
      <c r="F21" s="104" t="str">
        <f t="shared" si="0"/>
        <v>vino</v>
      </c>
      <c r="G21" s="175"/>
      <c r="H21" s="104" t="str">
        <f t="shared" si="1"/>
        <v>birra</v>
      </c>
      <c r="I21" s="104" t="str">
        <f t="shared" si="1"/>
        <v>vino</v>
      </c>
      <c r="J21" s="104" t="str">
        <f t="shared" si="1"/>
        <v>vino</v>
      </c>
      <c r="K21" s="104" t="str">
        <f t="shared" si="1"/>
        <v>vino</v>
      </c>
      <c r="L21" s="104" t="str">
        <f t="shared" si="1"/>
        <v>vino</v>
      </c>
      <c r="M21" s="104" t="str">
        <f t="shared" si="1"/>
        <v>vino</v>
      </c>
    </row>
    <row r="22" spans="1:13" ht="22.5">
      <c r="A22" s="246" t="s">
        <v>205</v>
      </c>
      <c r="B22" s="104" t="str">
        <f t="shared" si="0"/>
        <v>birra</v>
      </c>
      <c r="C22" s="104" t="str">
        <f t="shared" si="0"/>
        <v>birra</v>
      </c>
      <c r="D22" s="104" t="str">
        <f t="shared" si="0"/>
        <v>vino</v>
      </c>
      <c r="E22" s="104" t="str">
        <f t="shared" si="0"/>
        <v>vino</v>
      </c>
      <c r="F22" s="104" t="str">
        <f t="shared" si="0"/>
        <v>vino</v>
      </c>
      <c r="G22" s="175"/>
      <c r="H22" s="104" t="str">
        <f t="shared" si="1"/>
        <v>birra</v>
      </c>
      <c r="I22" s="104" t="str">
        <f t="shared" si="1"/>
        <v>vino</v>
      </c>
      <c r="J22" s="104" t="str">
        <f t="shared" si="1"/>
        <v>vino</v>
      </c>
      <c r="K22" s="104" t="str">
        <f t="shared" si="1"/>
        <v>vino</v>
      </c>
      <c r="L22" s="104" t="str">
        <f t="shared" si="1"/>
        <v>vino</v>
      </c>
      <c r="M22" s="104" t="str">
        <f t="shared" si="1"/>
        <v>vino</v>
      </c>
    </row>
    <row r="23" spans="1:13" ht="22.5">
      <c r="A23" s="246" t="s">
        <v>206</v>
      </c>
      <c r="B23" s="104" t="str">
        <f t="shared" si="0"/>
        <v>birra</v>
      </c>
      <c r="C23" s="104" t="str">
        <f t="shared" si="0"/>
        <v>vino</v>
      </c>
      <c r="D23" s="104" t="str">
        <f t="shared" si="0"/>
        <v>vino</v>
      </c>
      <c r="E23" s="104" t="str">
        <f t="shared" si="0"/>
        <v>vino</v>
      </c>
      <c r="F23" s="104" t="str">
        <f t="shared" si="0"/>
        <v>vino</v>
      </c>
      <c r="G23" s="175"/>
      <c r="H23" s="104" t="str">
        <f t="shared" si="1"/>
        <v>birra</v>
      </c>
      <c r="I23" s="104" t="str">
        <f t="shared" si="1"/>
        <v>vino</v>
      </c>
      <c r="J23" s="104" t="str">
        <f t="shared" si="1"/>
        <v>vino</v>
      </c>
      <c r="K23" s="104" t="str">
        <f t="shared" si="1"/>
        <v>vino</v>
      </c>
      <c r="L23" s="104" t="str">
        <f t="shared" si="1"/>
        <v>vino</v>
      </c>
      <c r="M23" s="104" t="str">
        <f t="shared" si="1"/>
        <v>vino</v>
      </c>
    </row>
    <row r="24" spans="1:7" ht="12.75">
      <c r="A24" s="165"/>
      <c r="B24" s="166"/>
      <c r="C24" s="166"/>
      <c r="D24" s="166"/>
      <c r="E24" s="166"/>
      <c r="F24" s="166"/>
      <c r="G24" s="166"/>
    </row>
    <row r="25" spans="2:8" ht="12.75">
      <c r="B25" s="167"/>
      <c r="C25" s="166"/>
      <c r="D25" s="166"/>
      <c r="E25" s="166"/>
      <c r="H25" s="16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00390625" style="0" customWidth="1"/>
    <col min="4" max="4" width="11.57421875" style="0" customWidth="1"/>
    <col min="5" max="5" width="12.00390625" style="0" customWidth="1"/>
  </cols>
  <sheetData>
    <row r="1" ht="12.75">
      <c r="A1" s="4" t="s">
        <v>302</v>
      </c>
    </row>
    <row r="2" ht="12.75">
      <c r="A2" t="s">
        <v>303</v>
      </c>
    </row>
    <row r="4" spans="1:6" ht="12.75">
      <c r="A4" s="293"/>
      <c r="B4" s="294" t="s">
        <v>281</v>
      </c>
      <c r="C4" s="295"/>
      <c r="D4" s="295"/>
      <c r="E4" s="296"/>
      <c r="F4" s="297"/>
    </row>
    <row r="5" spans="1:6" ht="33.75">
      <c r="A5" s="123" t="s">
        <v>282</v>
      </c>
      <c r="B5" s="247" t="s">
        <v>283</v>
      </c>
      <c r="C5" s="247" t="s">
        <v>284</v>
      </c>
      <c r="D5" s="247" t="s">
        <v>285</v>
      </c>
      <c r="E5" s="247" t="s">
        <v>286</v>
      </c>
      <c r="F5" s="297"/>
    </row>
    <row r="6" spans="1:5" ht="12.75">
      <c r="A6" s="298" t="s">
        <v>287</v>
      </c>
      <c r="B6" s="299">
        <v>1537640</v>
      </c>
      <c r="C6" s="300">
        <f>B6/B$17</f>
        <v>0.07261098209701351</v>
      </c>
      <c r="D6" s="301">
        <v>14979</v>
      </c>
      <c r="E6" s="302">
        <f>D6*1000000/B6</f>
        <v>9741.551988762</v>
      </c>
    </row>
    <row r="7" spans="1:5" ht="12.75">
      <c r="A7" s="298" t="s">
        <v>288</v>
      </c>
      <c r="B7" s="299">
        <v>1615417</v>
      </c>
      <c r="C7" s="300">
        <f aca="true" t="shared" si="0" ref="C7:C20">B7/B$17</f>
        <v>0.0762837952096793</v>
      </c>
      <c r="D7" s="301">
        <v>16814</v>
      </c>
      <c r="E7" s="302">
        <f aca="true" t="shared" si="1" ref="E7:E17">D7*1000000/B7</f>
        <v>10408.458001865773</v>
      </c>
    </row>
    <row r="8" spans="1:5" ht="12.75">
      <c r="A8" s="298" t="s">
        <v>289</v>
      </c>
      <c r="B8" s="299">
        <v>770527</v>
      </c>
      <c r="C8" s="300">
        <f t="shared" si="0"/>
        <v>0.03638609960866362</v>
      </c>
      <c r="D8" s="301">
        <v>7743</v>
      </c>
      <c r="E8" s="302">
        <f t="shared" si="1"/>
        <v>10048.966486573476</v>
      </c>
    </row>
    <row r="9" spans="1:5" ht="12.75">
      <c r="A9" s="298" t="s">
        <v>290</v>
      </c>
      <c r="B9" s="299">
        <v>530349</v>
      </c>
      <c r="C9" s="300">
        <f t="shared" si="0"/>
        <v>0.02504432880529189</v>
      </c>
      <c r="D9" s="301">
        <v>5032</v>
      </c>
      <c r="E9" s="302">
        <f t="shared" si="1"/>
        <v>9488.091803699073</v>
      </c>
    </row>
    <row r="10" spans="1:5" ht="12.75">
      <c r="A10" s="298" t="s">
        <v>291</v>
      </c>
      <c r="B10" s="299">
        <v>654021</v>
      </c>
      <c r="C10" s="300">
        <f t="shared" si="0"/>
        <v>0.0308844119053035</v>
      </c>
      <c r="D10" s="301">
        <v>4563</v>
      </c>
      <c r="E10" s="302">
        <f t="shared" si="1"/>
        <v>6976.8401932048055</v>
      </c>
    </row>
    <row r="11" spans="1:5" ht="12.75">
      <c r="A11" s="298" t="s">
        <v>292</v>
      </c>
      <c r="B11" s="299">
        <v>350476</v>
      </c>
      <c r="C11" s="300">
        <f t="shared" si="0"/>
        <v>0.016550302126266816</v>
      </c>
      <c r="D11" s="301">
        <v>3580</v>
      </c>
      <c r="E11" s="302">
        <f t="shared" si="1"/>
        <v>10214.67946449971</v>
      </c>
    </row>
    <row r="12" spans="1:5" ht="12.75">
      <c r="A12" s="298" t="s">
        <v>293</v>
      </c>
      <c r="B12" s="299">
        <v>671018</v>
      </c>
      <c r="C12" s="300">
        <f t="shared" si="0"/>
        <v>0.0316870502749498</v>
      </c>
      <c r="D12" s="301">
        <v>6969</v>
      </c>
      <c r="E12" s="302">
        <f t="shared" si="1"/>
        <v>10385.712454807472</v>
      </c>
    </row>
    <row r="13" spans="1:5" ht="12.75">
      <c r="A13" s="298" t="s">
        <v>294</v>
      </c>
      <c r="B13" s="299">
        <v>12246781</v>
      </c>
      <c r="C13" s="300">
        <f t="shared" si="0"/>
        <v>0.5783218412222921</v>
      </c>
      <c r="D13" s="301">
        <v>125875</v>
      </c>
      <c r="E13" s="302">
        <f t="shared" si="1"/>
        <v>10278.21106623855</v>
      </c>
    </row>
    <row r="14" spans="1:5" ht="12.75">
      <c r="A14" s="298" t="s">
        <v>295</v>
      </c>
      <c r="B14" s="299">
        <v>883235</v>
      </c>
      <c r="C14" s="300">
        <f t="shared" si="0"/>
        <v>0.04170843680735135</v>
      </c>
      <c r="D14" s="301">
        <v>8629</v>
      </c>
      <c r="E14" s="302">
        <f t="shared" si="1"/>
        <v>9769.766823099175</v>
      </c>
    </row>
    <row r="15" spans="1:5" ht="12.75">
      <c r="A15" s="298" t="s">
        <v>296</v>
      </c>
      <c r="B15" s="299">
        <v>339596</v>
      </c>
      <c r="C15" s="300">
        <f t="shared" si="0"/>
        <v>0.01603652290277139</v>
      </c>
      <c r="D15" s="301">
        <v>3405</v>
      </c>
      <c r="E15" s="302">
        <f t="shared" si="1"/>
        <v>10026.619865958373</v>
      </c>
    </row>
    <row r="16" spans="1:5" ht="12.75">
      <c r="A16" s="298" t="s">
        <v>297</v>
      </c>
      <c r="B16" s="299">
        <v>1577351</v>
      </c>
      <c r="C16" s="300">
        <f t="shared" si="0"/>
        <v>0.07448622904041671</v>
      </c>
      <c r="D16" s="303">
        <v>15170</v>
      </c>
      <c r="E16" s="302">
        <f t="shared" si="1"/>
        <v>9617.390168706901</v>
      </c>
    </row>
    <row r="17" spans="1:5" ht="13.5" thickBot="1">
      <c r="A17" s="304" t="s">
        <v>190</v>
      </c>
      <c r="B17" s="305">
        <f>SUM(B6:B16)</f>
        <v>21176411</v>
      </c>
      <c r="C17" s="306">
        <f t="shared" si="0"/>
        <v>1</v>
      </c>
      <c r="D17" s="307">
        <f>SUM(D6:D16)</f>
        <v>212759</v>
      </c>
      <c r="E17" s="308">
        <f t="shared" si="1"/>
        <v>10046.981048866119</v>
      </c>
    </row>
    <row r="18" spans="1:6" ht="12.75">
      <c r="A18" s="309" t="s">
        <v>83</v>
      </c>
      <c r="B18" s="310">
        <f>MIN(B$6:B$16)</f>
        <v>339596</v>
      </c>
      <c r="C18" s="317"/>
      <c r="D18" s="311"/>
      <c r="E18" s="318">
        <f>MIN(E$6:E$16)</f>
        <v>6976.8401932048055</v>
      </c>
      <c r="F18" s="312" t="s">
        <v>298</v>
      </c>
    </row>
    <row r="19" spans="1:6" ht="12.75">
      <c r="A19" s="309" t="s">
        <v>82</v>
      </c>
      <c r="B19" s="310">
        <f>MAX(B$6:B$16)</f>
        <v>12246781</v>
      </c>
      <c r="C19" s="317"/>
      <c r="D19" s="311"/>
      <c r="E19" s="318">
        <f>MAX(E$6:E$16)</f>
        <v>10408.458001865773</v>
      </c>
      <c r="F19" s="313" t="s">
        <v>82</v>
      </c>
    </row>
    <row r="20" spans="1:6" ht="13.5" thickBot="1">
      <c r="A20" s="309" t="s">
        <v>84</v>
      </c>
      <c r="B20" s="310">
        <f>AVERAGE(B$6:B$16)</f>
        <v>1925128.2727272727</v>
      </c>
      <c r="C20" s="300">
        <f t="shared" si="0"/>
        <v>0.09090909090909091</v>
      </c>
      <c r="D20" s="311"/>
      <c r="E20" s="318">
        <f>AVERAGE(E$6:E$16)</f>
        <v>9723.298937946845</v>
      </c>
      <c r="F20" s="314" t="s">
        <v>84</v>
      </c>
    </row>
    <row r="21" spans="1:6" ht="12.75">
      <c r="A21" s="309" t="s">
        <v>299</v>
      </c>
      <c r="B21" s="310">
        <f>COUNTA(A6:A16)</f>
        <v>11</v>
      </c>
      <c r="E21" s="315"/>
      <c r="F21" s="316"/>
    </row>
    <row r="22" spans="5:6" ht="12.75">
      <c r="E22" s="315"/>
      <c r="F22" s="316"/>
    </row>
    <row r="23" spans="1:6" ht="33.75">
      <c r="A23" s="247" t="s">
        <v>300</v>
      </c>
      <c r="B23" s="27">
        <f>COUNTIF(B6:B16,"&gt;1000000")</f>
        <v>4</v>
      </c>
      <c r="E23" s="315"/>
      <c r="F23" s="316"/>
    </row>
    <row r="24" spans="1:6" ht="33.75">
      <c r="A24" s="247" t="s">
        <v>301</v>
      </c>
      <c r="B24" s="27">
        <f>COUNTIF(B6:B16,"&lt;700000")</f>
        <v>5</v>
      </c>
      <c r="E24" s="315"/>
      <c r="F24" s="3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6" width="9.7109375" style="0" customWidth="1"/>
    <col min="7" max="7" width="8.57421875" style="0" customWidth="1"/>
    <col min="8" max="8" width="7.8515625" style="0" customWidth="1"/>
    <col min="9" max="9" width="8.421875" style="19" customWidth="1"/>
    <col min="10" max="10" width="8.140625" style="0" customWidth="1"/>
    <col min="13" max="13" width="5.7109375" style="0" bestFit="1" customWidth="1"/>
  </cols>
  <sheetData>
    <row r="1" spans="1:10" ht="12.75">
      <c r="A1" s="4" t="s">
        <v>277</v>
      </c>
      <c r="F1" s="4" t="s">
        <v>270</v>
      </c>
      <c r="J1" s="4"/>
    </row>
    <row r="2" spans="1:9" s="58" customFormat="1" ht="12">
      <c r="A2" s="56"/>
      <c r="B2" s="51"/>
      <c r="C2" s="56"/>
      <c r="D2" s="51"/>
      <c r="E2" s="51"/>
      <c r="F2" s="56"/>
      <c r="G2" s="51"/>
      <c r="H2" s="56"/>
      <c r="I2" s="57"/>
    </row>
    <row r="3" spans="1:21" s="59" customFormat="1" ht="12.75">
      <c r="A3" s="250"/>
      <c r="B3" s="251"/>
      <c r="C3" s="252" t="s">
        <v>246</v>
      </c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164"/>
      <c r="P3" s="164"/>
      <c r="Q3" s="164"/>
      <c r="R3" s="164"/>
      <c r="S3" s="164"/>
      <c r="T3" s="164"/>
      <c r="U3" s="164"/>
    </row>
    <row r="4" spans="1:21" s="59" customFormat="1" ht="11.25">
      <c r="A4" s="164"/>
      <c r="B4" s="126" t="s">
        <v>247</v>
      </c>
      <c r="C4" s="126" t="s">
        <v>249</v>
      </c>
      <c r="D4" s="126" t="s">
        <v>248</v>
      </c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164"/>
      <c r="P4" s="164"/>
      <c r="Q4" s="164"/>
      <c r="R4" s="164"/>
      <c r="S4" s="164"/>
      <c r="T4" s="164"/>
      <c r="U4" s="164"/>
    </row>
    <row r="5" spans="1:21" s="81" customFormat="1" ht="12.75">
      <c r="A5" s="256" t="s">
        <v>244</v>
      </c>
      <c r="B5" s="257">
        <v>62.8</v>
      </c>
      <c r="C5" s="257">
        <v>25.5</v>
      </c>
      <c r="D5" s="257">
        <v>11.6</v>
      </c>
      <c r="E5" s="92"/>
      <c r="F5" s="91"/>
      <c r="G5" s="91"/>
      <c r="H5" s="258"/>
      <c r="I5" s="258"/>
      <c r="J5" s="258"/>
      <c r="K5" s="258"/>
      <c r="L5" s="258"/>
      <c r="M5" s="258"/>
      <c r="N5" s="258"/>
      <c r="O5" s="94"/>
      <c r="P5" s="94"/>
      <c r="Q5" s="94"/>
      <c r="R5" s="94"/>
      <c r="S5" s="94"/>
      <c r="T5" s="94"/>
      <c r="U5" s="94"/>
    </row>
    <row r="6" spans="1:21" s="81" customFormat="1" ht="12.75">
      <c r="A6" s="72" t="s">
        <v>245</v>
      </c>
      <c r="B6" s="174">
        <v>70.5</v>
      </c>
      <c r="C6" s="174">
        <v>21</v>
      </c>
      <c r="D6" s="174">
        <v>8.2</v>
      </c>
      <c r="E6" s="92"/>
      <c r="F6" s="91"/>
      <c r="G6" s="91"/>
      <c r="H6" s="258"/>
      <c r="I6" s="258"/>
      <c r="J6" s="258"/>
      <c r="K6" s="258"/>
      <c r="L6" s="258"/>
      <c r="M6" s="258"/>
      <c r="N6" s="258"/>
      <c r="O6" s="94"/>
      <c r="P6" s="94"/>
      <c r="Q6" s="94"/>
      <c r="R6" s="94"/>
      <c r="S6" s="94"/>
      <c r="T6" s="94"/>
      <c r="U6" s="94"/>
    </row>
    <row r="7" spans="1:14" s="81" customFormat="1" ht="12.75">
      <c r="A7" s="86" t="s">
        <v>162</v>
      </c>
      <c r="B7" s="259">
        <f>AVERAGE(B5:B6)</f>
        <v>66.65</v>
      </c>
      <c r="C7" s="259">
        <f>AVERAGE(C5:C6)</f>
        <v>23.25</v>
      </c>
      <c r="D7" s="259">
        <f>AVERAGE(D5:D6)</f>
        <v>9.899999999999999</v>
      </c>
      <c r="E7" s="92"/>
      <c r="F7" s="91"/>
      <c r="G7" s="91"/>
      <c r="H7" s="260"/>
      <c r="I7" s="260"/>
      <c r="J7" s="260"/>
      <c r="K7" s="260"/>
      <c r="L7" s="260"/>
      <c r="M7" s="260"/>
      <c r="N7" s="260"/>
    </row>
    <row r="8" spans="1:14" s="81" customFormat="1" ht="12.75">
      <c r="A8" s="72"/>
      <c r="B8" s="248"/>
      <c r="C8" s="261" t="s">
        <v>250</v>
      </c>
      <c r="D8" s="262"/>
      <c r="E8" s="263"/>
      <c r="F8" s="262"/>
      <c r="G8" s="262"/>
      <c r="H8" s="264"/>
      <c r="I8" s="264"/>
      <c r="J8" s="265"/>
      <c r="K8" s="260"/>
      <c r="L8" s="260"/>
      <c r="M8" s="260"/>
      <c r="N8" s="260"/>
    </row>
    <row r="9" spans="1:14" s="81" customFormat="1" ht="45">
      <c r="A9" s="72"/>
      <c r="B9" s="266" t="s">
        <v>251</v>
      </c>
      <c r="C9" s="266" t="s">
        <v>252</v>
      </c>
      <c r="D9" s="267" t="s">
        <v>253</v>
      </c>
      <c r="E9" s="267" t="s">
        <v>254</v>
      </c>
      <c r="F9" s="247" t="s">
        <v>255</v>
      </c>
      <c r="G9" s="247" t="s">
        <v>256</v>
      </c>
      <c r="H9" s="266" t="s">
        <v>257</v>
      </c>
      <c r="I9" s="266" t="s">
        <v>258</v>
      </c>
      <c r="J9" s="267" t="s">
        <v>259</v>
      </c>
      <c r="K9" s="260"/>
      <c r="L9" s="260"/>
      <c r="M9" s="260"/>
      <c r="N9" s="260"/>
    </row>
    <row r="10" spans="1:14" s="81" customFormat="1" ht="12.75">
      <c r="A10" s="173" t="s">
        <v>244</v>
      </c>
      <c r="B10" s="268">
        <v>51.8</v>
      </c>
      <c r="C10" s="268">
        <v>70.1</v>
      </c>
      <c r="D10" s="268">
        <v>44.8</v>
      </c>
      <c r="E10" s="268">
        <v>5.9</v>
      </c>
      <c r="F10" s="268">
        <v>20.8</v>
      </c>
      <c r="G10" s="268">
        <v>12.2</v>
      </c>
      <c r="H10" s="268">
        <v>1.3</v>
      </c>
      <c r="I10" s="268">
        <v>24.8</v>
      </c>
      <c r="J10" s="268">
        <v>9.3</v>
      </c>
      <c r="K10" s="260"/>
      <c r="L10" s="260"/>
      <c r="M10" s="260"/>
      <c r="N10" s="260"/>
    </row>
    <row r="11" spans="1:14" s="81" customFormat="1" ht="12.75">
      <c r="A11" s="173" t="s">
        <v>245</v>
      </c>
      <c r="B11" s="268">
        <v>46.8</v>
      </c>
      <c r="C11" s="268">
        <v>51.6</v>
      </c>
      <c r="D11" s="268">
        <v>56.3</v>
      </c>
      <c r="E11" s="268">
        <v>16.6</v>
      </c>
      <c r="F11" s="268">
        <v>20.6</v>
      </c>
      <c r="G11" s="268">
        <v>7.4</v>
      </c>
      <c r="H11" s="268">
        <v>1.2</v>
      </c>
      <c r="I11" s="268">
        <v>27.9</v>
      </c>
      <c r="J11" s="268">
        <v>6.6</v>
      </c>
      <c r="K11" s="260"/>
      <c r="L11" s="260"/>
      <c r="M11" s="260"/>
      <c r="N11" s="260"/>
    </row>
    <row r="12" spans="1:14" s="81" customFormat="1" ht="12.75">
      <c r="A12" s="95" t="s">
        <v>162</v>
      </c>
      <c r="B12" s="112">
        <f aca="true" t="shared" si="0" ref="B12:J12">AVERAGE(B10:B11)</f>
        <v>49.3</v>
      </c>
      <c r="C12" s="112">
        <f t="shared" si="0"/>
        <v>60.849999999999994</v>
      </c>
      <c r="D12" s="112">
        <f t="shared" si="0"/>
        <v>50.55</v>
      </c>
      <c r="E12" s="112">
        <f t="shared" si="0"/>
        <v>11.25</v>
      </c>
      <c r="F12" s="112">
        <f t="shared" si="0"/>
        <v>20.700000000000003</v>
      </c>
      <c r="G12" s="112">
        <f t="shared" si="0"/>
        <v>9.8</v>
      </c>
      <c r="H12" s="112">
        <f t="shared" si="0"/>
        <v>1.25</v>
      </c>
      <c r="I12" s="112">
        <f t="shared" si="0"/>
        <v>26.35</v>
      </c>
      <c r="J12" s="112">
        <f t="shared" si="0"/>
        <v>7.95</v>
      </c>
      <c r="K12" s="260"/>
      <c r="L12" s="260"/>
      <c r="M12" s="260"/>
      <c r="N12" s="260"/>
    </row>
    <row r="13" spans="1:14" s="81" customFormat="1" ht="12" customHeight="1">
      <c r="A13" s="269" t="s">
        <v>280</v>
      </c>
      <c r="B13" s="270">
        <f>COUNTA(B9:J9)</f>
        <v>9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</row>
    <row r="14" spans="1:14" s="81" customFormat="1" ht="12" customHeight="1">
      <c r="A14" s="269" t="s">
        <v>272</v>
      </c>
      <c r="B14" s="271">
        <f>MAX(B12:J12)</f>
        <v>60.849999999999994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</row>
    <row r="15" spans="1:14" s="81" customFormat="1" ht="12.75">
      <c r="A15" s="269" t="s">
        <v>273</v>
      </c>
      <c r="B15" s="271">
        <f>MIN(B12:J12)</f>
        <v>1.25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1:14" s="81" customFormat="1" ht="12.75">
      <c r="A16" s="272"/>
      <c r="B16" s="273"/>
      <c r="C16" s="274"/>
      <c r="D16" s="275" t="s">
        <v>275</v>
      </c>
      <c r="E16" s="274"/>
      <c r="F16" s="276"/>
      <c r="G16" s="277"/>
      <c r="H16" s="277"/>
      <c r="I16" s="277"/>
      <c r="J16" s="277"/>
      <c r="K16" s="277"/>
      <c r="L16" s="277"/>
      <c r="M16" s="277"/>
      <c r="N16" s="277"/>
    </row>
    <row r="17" spans="1:9" s="81" customFormat="1" ht="12.75">
      <c r="A17" s="95" t="s">
        <v>260</v>
      </c>
      <c r="B17" s="278">
        <v>1982</v>
      </c>
      <c r="C17" s="278">
        <v>1985</v>
      </c>
      <c r="D17" s="278">
        <v>1988</v>
      </c>
      <c r="E17" s="279">
        <v>1995</v>
      </c>
      <c r="F17" s="278">
        <v>2000</v>
      </c>
      <c r="G17" s="91"/>
      <c r="H17" s="91"/>
      <c r="I17" s="92"/>
    </row>
    <row r="18" spans="1:9" s="81" customFormat="1" ht="12.75">
      <c r="A18" s="173" t="s">
        <v>244</v>
      </c>
      <c r="B18" s="280">
        <v>21.5</v>
      </c>
      <c r="C18" s="280">
        <v>30.4</v>
      </c>
      <c r="D18" s="280">
        <v>31.9</v>
      </c>
      <c r="E18" s="280">
        <v>23.7</v>
      </c>
      <c r="F18" s="280">
        <v>25.6</v>
      </c>
      <c r="G18" s="91"/>
      <c r="H18" s="91"/>
      <c r="I18" s="92"/>
    </row>
    <row r="19" spans="1:9" s="81" customFormat="1" ht="12.75">
      <c r="A19" s="173" t="s">
        <v>245</v>
      </c>
      <c r="B19" s="280">
        <v>9.5</v>
      </c>
      <c r="C19" s="280">
        <v>14.4</v>
      </c>
      <c r="D19" s="280">
        <v>14.4</v>
      </c>
      <c r="E19" s="280">
        <v>12.7</v>
      </c>
      <c r="F19" s="280">
        <v>15.4</v>
      </c>
      <c r="G19" s="91"/>
      <c r="H19" s="91"/>
      <c r="I19" s="92"/>
    </row>
    <row r="20" spans="1:9" s="81" customFormat="1" ht="13.5" thickBot="1">
      <c r="A20" s="281" t="s">
        <v>162</v>
      </c>
      <c r="B20" s="259">
        <f>AVERAGE(B18:B19)</f>
        <v>15.5</v>
      </c>
      <c r="C20" s="282">
        <f>AVERAGE(C18:C19)</f>
        <v>22.4</v>
      </c>
      <c r="D20" s="282">
        <f>AVERAGE(D18:D19)</f>
        <v>23.15</v>
      </c>
      <c r="E20" s="282">
        <f>AVERAGE(E18:E19)</f>
        <v>18.2</v>
      </c>
      <c r="F20" s="282">
        <f>AVERAGE(F18:F19)</f>
        <v>20.5</v>
      </c>
      <c r="G20" s="91"/>
      <c r="H20" s="91"/>
      <c r="I20" s="92"/>
    </row>
    <row r="21" spans="1:9" s="81" customFormat="1" ht="22.5">
      <c r="A21" s="283" t="s">
        <v>279</v>
      </c>
      <c r="B21" s="112">
        <f>AVERAGE(B19:F19)</f>
        <v>13.280000000000001</v>
      </c>
      <c r="C21" s="105"/>
      <c r="D21" s="105"/>
      <c r="E21" s="105"/>
      <c r="F21" s="105"/>
      <c r="G21" s="91"/>
      <c r="H21" s="91"/>
      <c r="I21" s="92"/>
    </row>
    <row r="22" spans="1:9" s="81" customFormat="1" ht="22.5">
      <c r="A22" s="283" t="s">
        <v>278</v>
      </c>
      <c r="B22" s="112">
        <f>AVERAGE(B18:F18)</f>
        <v>26.619999999999997</v>
      </c>
      <c r="C22" s="105"/>
      <c r="D22" s="105"/>
      <c r="E22" s="105"/>
      <c r="F22" s="105"/>
      <c r="G22" s="91"/>
      <c r="H22" s="91"/>
      <c r="I22" s="92"/>
    </row>
    <row r="23" spans="1:9" s="81" customFormat="1" ht="22.5">
      <c r="A23" s="283" t="s">
        <v>276</v>
      </c>
      <c r="B23" s="112">
        <f>COUNTIF(B18:F18,"&gt;26,6")</f>
        <v>2</v>
      </c>
      <c r="C23" s="105"/>
      <c r="D23" s="105"/>
      <c r="E23" s="105"/>
      <c r="F23" s="105"/>
      <c r="G23" s="91"/>
      <c r="H23" s="91"/>
      <c r="I23" s="92"/>
    </row>
    <row r="24" spans="1:9" s="81" customFormat="1" ht="33.75">
      <c r="A24" s="283" t="s">
        <v>274</v>
      </c>
      <c r="B24" s="112">
        <f>COUNTIF(B19:F19,"&gt;13,3")</f>
        <v>3</v>
      </c>
      <c r="C24" s="105"/>
      <c r="D24" s="105"/>
      <c r="E24" s="105"/>
      <c r="F24" s="105"/>
      <c r="G24" s="91"/>
      <c r="H24" s="91"/>
      <c r="I24" s="92"/>
    </row>
    <row r="25" spans="1:11" s="81" customFormat="1" ht="12.75">
      <c r="A25" s="103"/>
      <c r="B25" s="248"/>
      <c r="C25" s="262"/>
      <c r="D25" s="284"/>
      <c r="E25" s="263"/>
      <c r="F25" s="284" t="s">
        <v>269</v>
      </c>
      <c r="G25" s="262"/>
      <c r="H25" s="262"/>
      <c r="I25" s="263"/>
      <c r="J25" s="285"/>
      <c r="K25" s="286"/>
    </row>
    <row r="26" spans="1:11" s="81" customFormat="1" ht="45">
      <c r="A26" s="173"/>
      <c r="B26" s="287" t="s">
        <v>242</v>
      </c>
      <c r="C26" s="287" t="s">
        <v>261</v>
      </c>
      <c r="D26" s="287" t="s">
        <v>262</v>
      </c>
      <c r="E26" s="287" t="s">
        <v>263</v>
      </c>
      <c r="F26" s="287" t="s">
        <v>264</v>
      </c>
      <c r="G26" s="287" t="s">
        <v>265</v>
      </c>
      <c r="H26" s="287" t="s">
        <v>266</v>
      </c>
      <c r="I26" s="287" t="s">
        <v>267</v>
      </c>
      <c r="J26" s="287" t="s">
        <v>268</v>
      </c>
      <c r="K26" s="287" t="s">
        <v>243</v>
      </c>
    </row>
    <row r="27" spans="1:27" s="81" customFormat="1" ht="12.75">
      <c r="A27" s="173" t="s">
        <v>244</v>
      </c>
      <c r="B27" s="174">
        <v>41</v>
      </c>
      <c r="C27" s="288">
        <v>6.5</v>
      </c>
      <c r="D27" s="288">
        <v>3.5</v>
      </c>
      <c r="E27" s="288">
        <v>10.2</v>
      </c>
      <c r="F27" s="174">
        <v>10</v>
      </c>
      <c r="G27" s="288">
        <v>4.8</v>
      </c>
      <c r="H27" s="288">
        <v>3.3</v>
      </c>
      <c r="I27" s="288">
        <v>16.7</v>
      </c>
      <c r="J27" s="288">
        <v>10.1</v>
      </c>
      <c r="K27" s="288">
        <v>13.2</v>
      </c>
      <c r="L27" s="249"/>
      <c r="M27" s="289"/>
      <c r="N27" s="290"/>
      <c r="O27" s="290"/>
      <c r="P27" s="290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81" customFormat="1" ht="12.75">
      <c r="A28" s="173" t="s">
        <v>245</v>
      </c>
      <c r="B28" s="288">
        <v>1.4</v>
      </c>
      <c r="C28" s="174">
        <v>5</v>
      </c>
      <c r="D28" s="288">
        <v>2.4</v>
      </c>
      <c r="E28" s="288">
        <v>3.6</v>
      </c>
      <c r="F28" s="288">
        <v>43.3</v>
      </c>
      <c r="G28" s="288">
        <v>1.8</v>
      </c>
      <c r="H28" s="288">
        <v>10</v>
      </c>
      <c r="I28" s="288">
        <v>29</v>
      </c>
      <c r="J28" s="288">
        <v>4.8</v>
      </c>
      <c r="K28" s="288">
        <v>11.9</v>
      </c>
      <c r="M28" s="289"/>
      <c r="N28" s="290"/>
      <c r="O28" s="290"/>
      <c r="P28" s="290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12" s="81" customFormat="1" ht="12.75">
      <c r="A29" s="86" t="s">
        <v>162</v>
      </c>
      <c r="B29" s="112">
        <f aca="true" t="shared" si="1" ref="B29:K29">AVERAGE(B27:B28)</f>
        <v>21.2</v>
      </c>
      <c r="C29" s="112">
        <f t="shared" si="1"/>
        <v>5.75</v>
      </c>
      <c r="D29" s="112">
        <f t="shared" si="1"/>
        <v>2.95</v>
      </c>
      <c r="E29" s="112">
        <f t="shared" si="1"/>
        <v>6.8999999999999995</v>
      </c>
      <c r="F29" s="112">
        <f t="shared" si="1"/>
        <v>26.65</v>
      </c>
      <c r="G29" s="112">
        <f t="shared" si="1"/>
        <v>3.3</v>
      </c>
      <c r="H29" s="112">
        <f t="shared" si="1"/>
        <v>6.65</v>
      </c>
      <c r="I29" s="112">
        <f t="shared" si="1"/>
        <v>22.85</v>
      </c>
      <c r="J29" s="112">
        <f t="shared" si="1"/>
        <v>7.449999999999999</v>
      </c>
      <c r="K29" s="112">
        <f t="shared" si="1"/>
        <v>12.55</v>
      </c>
      <c r="L29" s="249"/>
    </row>
    <row r="30" spans="1:11" s="81" customFormat="1" ht="33.75">
      <c r="A30" s="283" t="s">
        <v>271</v>
      </c>
      <c r="B30" s="291" t="str">
        <f aca="true" t="shared" si="2" ref="B30:K30">IF(B27&gt;B29,$A$27,$A$28)</f>
        <v>Maschi</v>
      </c>
      <c r="C30" s="291" t="str">
        <f t="shared" si="2"/>
        <v>Maschi</v>
      </c>
      <c r="D30" s="291" t="str">
        <f t="shared" si="2"/>
        <v>Maschi</v>
      </c>
      <c r="E30" s="291" t="str">
        <f t="shared" si="2"/>
        <v>Maschi</v>
      </c>
      <c r="F30" s="291" t="str">
        <f t="shared" si="2"/>
        <v>Femmine</v>
      </c>
      <c r="G30" s="291" t="str">
        <f t="shared" si="2"/>
        <v>Maschi</v>
      </c>
      <c r="H30" s="291" t="str">
        <f t="shared" si="2"/>
        <v>Femmine</v>
      </c>
      <c r="I30" s="291" t="str">
        <f t="shared" si="2"/>
        <v>Femmine</v>
      </c>
      <c r="J30" s="291" t="str">
        <f t="shared" si="2"/>
        <v>Maschi</v>
      </c>
      <c r="K30" s="291" t="str">
        <f t="shared" si="2"/>
        <v>Maschi</v>
      </c>
    </row>
    <row r="31" spans="1:9" s="81" customFormat="1" ht="12.75">
      <c r="A31" s="97"/>
      <c r="B31" s="91"/>
      <c r="C31" s="91"/>
      <c r="D31" s="91"/>
      <c r="E31" s="92"/>
      <c r="F31" s="91"/>
      <c r="G31" s="91"/>
      <c r="H31" s="91"/>
      <c r="I31" s="92"/>
    </row>
    <row r="32" spans="1:9" s="81" customFormat="1" ht="12.75">
      <c r="A32" s="97"/>
      <c r="B32" s="91"/>
      <c r="C32" s="91"/>
      <c r="D32" s="91"/>
      <c r="E32" s="92"/>
      <c r="F32" s="91"/>
      <c r="G32" s="91"/>
      <c r="H32" s="91"/>
      <c r="I32" s="92"/>
    </row>
    <row r="33" spans="1:9" s="81" customFormat="1" ht="12.75">
      <c r="A33" s="97"/>
      <c r="B33" s="91"/>
      <c r="C33" s="91"/>
      <c r="D33" s="91"/>
      <c r="E33" s="92"/>
      <c r="F33" s="91"/>
      <c r="G33" s="91"/>
      <c r="H33" s="91"/>
      <c r="I33" s="92"/>
    </row>
    <row r="34" spans="1:9" s="81" customFormat="1" ht="12.75">
      <c r="A34" s="97"/>
      <c r="B34" s="91"/>
      <c r="C34" s="91"/>
      <c r="D34" s="91"/>
      <c r="E34" s="92"/>
      <c r="F34" s="91"/>
      <c r="G34" s="91"/>
      <c r="H34" s="91"/>
      <c r="I34" s="92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M Lazzari</cp:lastModifiedBy>
  <cp:lastPrinted>2003-12-19T14:02:31Z</cp:lastPrinted>
  <dcterms:created xsi:type="dcterms:W3CDTF">2003-03-04T19:20:28Z</dcterms:created>
  <dcterms:modified xsi:type="dcterms:W3CDTF">2007-02-01T10:13:43Z</dcterms:modified>
  <cp:category/>
  <cp:version/>
  <cp:contentType/>
  <cp:contentStatus/>
</cp:coreProperties>
</file>